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st of Capital" sheetId="1" r:id="rId4"/>
    <sheet name="Warranty Costs" sheetId="2" r:id="rId5"/>
    <sheet name="Summary Calcs-Detroit" sheetId="3" r:id="rId6"/>
    <sheet name="Summary Calcs-Marcus" sheetId="4" r:id="rId7"/>
    <sheet name="Beta calculation" sheetId="5" r:id="rId8"/>
  </sheets>
</workbook>
</file>

<file path=xl/sharedStrings.xml><?xml version="1.0" encoding="utf-8"?>
<sst xmlns="http://schemas.openxmlformats.org/spreadsheetml/2006/main" uniqueCount="76">
  <si>
    <t>Current cost (YTM) of company bonds:</t>
  </si>
  <si>
    <t>Tax Rate:</t>
  </si>
  <si>
    <t>10 Year T-Notes YTM:</t>
  </si>
  <si>
    <t>S&amp;P Market Risk Premium (MRP):</t>
  </si>
  <si>
    <t>Company/Project beta:</t>
  </si>
  <si>
    <t>Road King D/E:</t>
  </si>
  <si>
    <t>Calculations:</t>
  </si>
  <si>
    <t>R-dat = R-d x (1 - Tax Rate):</t>
  </si>
  <si>
    <t>D/V = (D/E)/(1+D/E) :</t>
  </si>
  <si>
    <t>R-eq = R-rf + Beta x (MRP):</t>
  </si>
  <si>
    <t>E/V = 1 - D/V:</t>
  </si>
  <si>
    <t>WACC = R-dat x D/V + R-eq x E/V :</t>
  </si>
  <si>
    <t>COST OF</t>
  </si>
  <si>
    <t xml:space="preserve">NO. OF </t>
  </si>
  <si>
    <t>PRESENT</t>
  </si>
  <si>
    <t>PMT</t>
  </si>
  <si>
    <t>CAPITAL</t>
  </si>
  <si>
    <t>YEARS</t>
  </si>
  <si>
    <t>VALUE</t>
  </si>
  <si>
    <t>Bus Warranty</t>
  </si>
  <si>
    <t>Marcus Engine</t>
  </si>
  <si>
    <t>Detroit Engine</t>
  </si>
  <si>
    <t>DETROIT ENGINE</t>
  </si>
  <si>
    <t>Year</t>
  </si>
  <si>
    <t>OPERATING SUMMARY</t>
  </si>
  <si>
    <t>Annual Inflation Factor</t>
  </si>
  <si>
    <t>Price per bus</t>
  </si>
  <si>
    <t>Units sold</t>
  </si>
  <si>
    <t>Revenue ($000)</t>
  </si>
  <si>
    <t>Expenses ($000)</t>
  </si>
  <si>
    <t xml:space="preserve">   Labor @ $50,000/unit</t>
  </si>
  <si>
    <t xml:space="preserve">   Parts @ $95,000/unit</t>
  </si>
  <si>
    <t xml:space="preserve">   Engine (Detroit) @ $22,000/unit</t>
  </si>
  <si>
    <t>Gross Profit ($000)</t>
  </si>
  <si>
    <t>Training</t>
  </si>
  <si>
    <t>Sales/Administration</t>
  </si>
  <si>
    <t>Bus Warranty per unit:</t>
  </si>
  <si>
    <t>Engine Warranty (Detroit) per unit:</t>
  </si>
  <si>
    <t>Depreciation</t>
  </si>
  <si>
    <t>EBIT ($000)</t>
  </si>
  <si>
    <t xml:space="preserve">Taxes @    </t>
  </si>
  <si>
    <t>NOPAT ($000)</t>
  </si>
  <si>
    <t>Operating Cash Flow ($000)</t>
  </si>
  <si>
    <t>INVESTMENT SUMMARY</t>
  </si>
  <si>
    <t xml:space="preserve">   Property</t>
  </si>
  <si>
    <t xml:space="preserve">   Plant and Equipment</t>
  </si>
  <si>
    <t xml:space="preserve">   Working Capital @ 10% of Revenue</t>
  </si>
  <si>
    <t>SALVAGE SUMMARY</t>
  </si>
  <si>
    <t xml:space="preserve">   Less:  Cost Basis</t>
  </si>
  <si>
    <t xml:space="preserve">   Less:  Clean up costs</t>
  </si>
  <si>
    <t xml:space="preserve">   Plant &amp; Equipment</t>
  </si>
  <si>
    <t xml:space="preserve">   Gross Salvage Value</t>
  </si>
  <si>
    <t xml:space="preserve">   Less:  Taxes @ 40%</t>
  </si>
  <si>
    <t xml:space="preserve">   Net Salvage Value ($000)</t>
  </si>
  <si>
    <t>Incremental Cash Flow ($000)  ---&gt;</t>
  </si>
  <si>
    <t xml:space="preserve">Net Present Value ($000) @ </t>
  </si>
  <si>
    <t xml:space="preserve">  ---&gt;</t>
  </si>
  <si>
    <t xml:space="preserve">Internal Rate of Return  </t>
  </si>
  <si>
    <t>MARCUS ENGINE</t>
  </si>
  <si>
    <t xml:space="preserve">   Engine (Marcus) @ $18,000/unit</t>
  </si>
  <si>
    <t>Engine Warranty (Marcus) per unit:</t>
  </si>
  <si>
    <t>General</t>
  </si>
  <si>
    <t>Universal</t>
  </si>
  <si>
    <t>Trucks</t>
  </si>
  <si>
    <t>Int'l</t>
  </si>
  <si>
    <t>Transports</t>
  </si>
  <si>
    <t>Inc.</t>
  </si>
  <si>
    <t>AVG</t>
  </si>
  <si>
    <t>Beta</t>
  </si>
  <si>
    <t>Income% from Trucks</t>
  </si>
  <si>
    <t>Weighted Avg.</t>
  </si>
  <si>
    <t>Baseline beta</t>
  </si>
  <si>
    <t>Risk Adjustment</t>
  </si>
  <si>
    <t>User Specific</t>
  </si>
  <si>
    <t>Project Beta</t>
  </si>
  <si>
    <t>put in 1st page company beta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</si>
</sst>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.0000"/>
    <numFmt numFmtId="60" formatCode="&quot; &quot;* #,##0&quot; &quot;;&quot; &quot;* (#,##0);&quot; &quot;* &quot;-&quot;??&quot; &quot;"/>
    <numFmt numFmtId="61" formatCode="[$$-409]#,##0.00&quot; &quot;;([$$-409]#,##0.00)"/>
    <numFmt numFmtId="62" formatCode="0.0%"/>
    <numFmt numFmtId="63" formatCode="&quot; &quot;* #,##0.00&quot; &quot;;&quot; &quot;* (#,##0.00);&quot; &quot;* &quot;-&quot;??&quot; &quot;"/>
    <numFmt numFmtId="64" formatCode="&quot; &quot;[$$-409]* #,##0&quot; &quot;;&quot; &quot;[$$-409]* (#,##0);&quot; &quot;[$$-409]* &quot;-&quot;??&quot; &quot;"/>
  </numFmts>
  <fonts count="8">
    <font>
      <sz val="11"/>
      <color indexed="8"/>
      <name val="Calibri"/>
    </font>
    <font>
      <b val="1"/>
      <sz val="22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u val="single"/>
      <sz val="11"/>
      <color indexed="8"/>
      <name val="Calibri"/>
    </font>
    <font>
      <b val="1"/>
      <sz val="11"/>
      <color indexed="8"/>
      <name val="Calibri"/>
    </font>
    <font>
      <u val="single"/>
      <sz val="11"/>
      <color indexed="8"/>
      <name val="Calibri"/>
    </font>
    <font>
      <b val="1"/>
      <u val="single"/>
      <sz val="16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49" fontId="0" fillId="3" borderId="6" applyNumberFormat="1" applyFont="1" applyFill="1" applyBorder="1" applyAlignment="1" applyProtection="0">
      <alignment vertical="bottom"/>
    </xf>
    <xf numFmtId="10" fontId="0" fillId="3" borderId="6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left" vertical="bottom"/>
    </xf>
    <xf numFmtId="9" fontId="0" fillId="2" borderId="4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10" fontId="0" fillId="2" borderId="4" applyNumberFormat="1" applyFont="1" applyFill="1" applyBorder="1" applyAlignment="1" applyProtection="0">
      <alignment vertical="bottom"/>
    </xf>
    <xf numFmtId="0" fontId="0" fillId="3" borderId="6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horizontal="left" vertical="bottom"/>
    </xf>
    <xf numFmtId="2" fontId="0" fillId="2" borderId="4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59" fontId="0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10" fontId="5" fillId="2" borderId="4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vertical="bottom"/>
    </xf>
    <xf numFmtId="0" fontId="0" fillId="2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4" applyNumberFormat="1" applyFont="1" applyFill="1" applyBorder="1" applyAlignment="1" applyProtection="0">
      <alignment vertical="bottom"/>
    </xf>
    <xf numFmtId="0" fontId="0" fillId="2" borderId="15" applyNumberFormat="1" applyFont="1" applyFill="1" applyBorder="1" applyAlignment="1" applyProtection="0">
      <alignment horizontal="center" vertical="bottom"/>
    </xf>
    <xf numFmtId="49" fontId="0" fillId="2" borderId="15" applyNumberFormat="1" applyFont="1" applyFill="1" applyBorder="1" applyAlignment="1" applyProtection="0">
      <alignment horizontal="center" vertical="bottom"/>
    </xf>
    <xf numFmtId="49" fontId="0" fillId="2" borderId="16" applyNumberFormat="1" applyFont="1" applyFill="1" applyBorder="1" applyAlignment="1" applyProtection="0">
      <alignment horizontal="center" vertical="bottom"/>
    </xf>
    <xf numFmtId="49" fontId="6" fillId="2" borderId="4" applyNumberFormat="1" applyFont="1" applyFill="1" applyBorder="1" applyAlignment="1" applyProtection="0">
      <alignment horizontal="center" vertical="bottom"/>
    </xf>
    <xf numFmtId="49" fontId="6" fillId="2" borderId="3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60" fontId="0" fillId="2" borderId="4" applyNumberFormat="1" applyFont="1" applyFill="1" applyBorder="1" applyAlignment="1" applyProtection="0">
      <alignment horizontal="right" vertical="bottom"/>
    </xf>
    <xf numFmtId="10" fontId="0" fillId="2" borderId="4" applyNumberFormat="1" applyFont="1" applyFill="1" applyBorder="1" applyAlignment="1" applyProtection="0">
      <alignment horizontal="right" vertical="bottom"/>
    </xf>
    <xf numFmtId="0" fontId="0" fillId="2" borderId="4" applyNumberFormat="1" applyFont="1" applyFill="1" applyBorder="1" applyAlignment="1" applyProtection="0">
      <alignment horizontal="center" vertical="bottom"/>
    </xf>
    <xf numFmtId="61" fontId="0" fillId="2" borderId="3" applyNumberFormat="1" applyFont="1" applyFill="1" applyBorder="1" applyAlignment="1" applyProtection="0">
      <alignment horizontal="right" vertical="bottom"/>
    </xf>
    <xf numFmtId="0" fontId="0" fillId="2" borderId="4" applyNumberFormat="1" applyFont="1" applyFill="1" applyBorder="1" applyAlignment="1" applyProtection="0">
      <alignment horizontal="right" vertical="bottom"/>
    </xf>
    <xf numFmtId="0" fontId="0" fillId="2" borderId="3" applyNumberFormat="1" applyFont="1" applyFill="1" applyBorder="1" applyAlignment="1" applyProtection="0">
      <alignment horizontal="right" vertical="bottom"/>
    </xf>
    <xf numFmtId="0" fontId="0" borderId="15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2" borderId="4" applyNumberFormat="1" applyFont="1" applyFill="1" applyBorder="1" applyAlignment="1" applyProtection="0">
      <alignment vertical="bottom"/>
    </xf>
    <xf numFmtId="0" fontId="7" fillId="2" borderId="4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center" vertical="bottom"/>
    </xf>
    <xf numFmtId="0" fontId="6" fillId="2" borderId="4" applyNumberFormat="1" applyFont="1" applyFill="1" applyBorder="1" applyAlignment="1" applyProtection="0">
      <alignment horizontal="center" vertical="bottom"/>
    </xf>
    <xf numFmtId="0" fontId="4" fillId="2" borderId="4" applyNumberFormat="1" applyFont="1" applyFill="1" applyBorder="1" applyAlignment="1" applyProtection="0">
      <alignment vertical="bottom"/>
    </xf>
    <xf numFmtId="60" fontId="0" fillId="2" borderId="4" applyNumberFormat="1" applyFont="1" applyFill="1" applyBorder="1" applyAlignment="1" applyProtection="0">
      <alignment vertical="bottom"/>
    </xf>
    <xf numFmtId="62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vertical="bottom"/>
    </xf>
    <xf numFmtId="60" fontId="5" fillId="2" borderId="4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vertical="bottom"/>
    </xf>
    <xf numFmtId="63" fontId="0" fillId="2" borderId="4" applyNumberFormat="1" applyFont="1" applyFill="1" applyBorder="1" applyAlignment="1" applyProtection="0">
      <alignment vertical="bottom"/>
    </xf>
    <xf numFmtId="60" fontId="0" fillId="2" borderId="9" applyNumberFormat="1" applyFont="1" applyFill="1" applyBorder="1" applyAlignment="1" applyProtection="0">
      <alignment vertical="bottom"/>
    </xf>
    <xf numFmtId="60" fontId="5" fillId="2" borderId="10" applyNumberFormat="1" applyFont="1" applyFill="1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left" vertical="bottom"/>
    </xf>
    <xf numFmtId="9" fontId="0" fillId="2" borderId="17" applyNumberFormat="1" applyFont="1" applyFill="1" applyBorder="1" applyAlignment="1" applyProtection="0">
      <alignment vertical="bottom"/>
    </xf>
    <xf numFmtId="0" fontId="5" fillId="2" borderId="15" applyNumberFormat="1" applyFont="1" applyFill="1" applyBorder="1" applyAlignment="1" applyProtection="0">
      <alignment vertical="bottom"/>
    </xf>
    <xf numFmtId="60" fontId="6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right" vertical="bottom"/>
    </xf>
    <xf numFmtId="0" fontId="5" fillId="2" borderId="4" applyNumberFormat="1" applyFont="1" applyFill="1" applyBorder="1" applyAlignment="1" applyProtection="0">
      <alignment horizontal="right" vertical="bottom"/>
    </xf>
    <xf numFmtId="49" fontId="5" fillId="2" borderId="3" applyNumberFormat="1" applyFont="1" applyFill="1" applyBorder="1" applyAlignment="1" applyProtection="0">
      <alignment horizontal="right" vertical="bottom"/>
    </xf>
    <xf numFmtId="10" fontId="5" fillId="2" borderId="17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center" vertical="bottom"/>
    </xf>
    <xf numFmtId="64" fontId="5" fillId="2" borderId="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2" fontId="0" fillId="2" borderId="12" applyNumberFormat="1" applyFont="1" applyFill="1" applyBorder="1" applyAlignment="1" applyProtection="0">
      <alignment vertical="bottom"/>
    </xf>
    <xf numFmtId="2" fontId="0" fillId="2" borderId="18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26"/>
  <sheetViews>
    <sheetView workbookViewId="0" showGridLines="0" defaultGridColor="1"/>
  </sheetViews>
  <sheetFormatPr defaultColWidth="8.83333" defaultRowHeight="14.25" customHeight="1" outlineLevelRow="0" outlineLevelCol="0"/>
  <cols>
    <col min="1" max="1" width="3.67188" style="1" customWidth="1"/>
    <col min="2" max="2" width="35.3516" style="1" customWidth="1"/>
    <col min="3" max="3" width="8.85156" style="1" customWidth="1"/>
    <col min="4" max="4" width="3.67188" style="1" customWidth="1"/>
    <col min="5" max="5" width="8.85156" style="1" customWidth="1"/>
    <col min="6" max="6" width="8.85156" style="1" customWidth="1"/>
    <col min="7" max="7" width="8.85156" style="1" customWidth="1"/>
    <col min="8" max="256" width="8.85156" style="1" customWidth="1"/>
  </cols>
  <sheetData>
    <row r="1" ht="15" customHeight="1">
      <c r="A1" s="2"/>
      <c r="B1" s="3"/>
      <c r="C1" s="3"/>
      <c r="D1" s="4"/>
      <c r="E1" s="5"/>
      <c r="F1" s="6"/>
      <c r="G1" s="6"/>
    </row>
    <row r="2" ht="15" customHeight="1">
      <c r="A2" s="7"/>
      <c r="B2" t="s" s="8">
        <v>0</v>
      </c>
      <c r="C2" s="9">
        <v>0.065</v>
      </c>
      <c r="D2" s="10"/>
      <c r="E2" s="5"/>
      <c r="F2" s="6"/>
      <c r="G2" s="6"/>
    </row>
    <row r="3" ht="15" customHeight="1">
      <c r="A3" s="2"/>
      <c r="B3" s="11"/>
      <c r="C3" s="11"/>
      <c r="D3" s="4"/>
      <c r="E3" s="5"/>
      <c r="F3" s="6"/>
      <c r="G3" s="6"/>
    </row>
    <row r="4" ht="15" customHeight="1">
      <c r="A4" s="2"/>
      <c r="B4" t="s" s="12">
        <v>1</v>
      </c>
      <c r="C4" s="13">
        <v>0.4</v>
      </c>
      <c r="D4" s="4"/>
      <c r="E4" s="5"/>
      <c r="F4" s="6"/>
      <c r="G4" s="6"/>
    </row>
    <row r="5" ht="15" customHeight="1">
      <c r="A5" s="2"/>
      <c r="B5" s="14"/>
      <c r="C5" s="14"/>
      <c r="D5" s="4"/>
      <c r="E5" s="5"/>
      <c r="F5" s="6"/>
      <c r="G5" s="6"/>
    </row>
    <row r="6" ht="15" customHeight="1">
      <c r="A6" s="2"/>
      <c r="B6" t="s" s="15">
        <v>2</v>
      </c>
      <c r="C6" s="16">
        <v>0.04</v>
      </c>
      <c r="D6" s="4"/>
      <c r="E6" s="5"/>
      <c r="F6" s="6"/>
      <c r="G6" s="6"/>
    </row>
    <row r="7" ht="15" customHeight="1">
      <c r="A7" s="2"/>
      <c r="B7" s="14"/>
      <c r="C7" s="14"/>
      <c r="D7" s="4"/>
      <c r="E7" s="5"/>
      <c r="F7" s="6"/>
      <c r="G7" s="13"/>
    </row>
    <row r="8" ht="15" customHeight="1">
      <c r="A8" s="2"/>
      <c r="B8" t="s" s="15">
        <v>3</v>
      </c>
      <c r="C8" s="16">
        <v>0.055</v>
      </c>
      <c r="D8" s="4"/>
      <c r="E8" s="5"/>
      <c r="F8" s="6"/>
      <c r="G8" s="6"/>
    </row>
    <row r="9" ht="15" customHeight="1">
      <c r="A9" s="2"/>
      <c r="B9" s="3"/>
      <c r="C9" s="3"/>
      <c r="D9" s="4"/>
      <c r="E9" s="5"/>
      <c r="F9" s="6"/>
      <c r="G9" s="6"/>
    </row>
    <row r="10" ht="15" customHeight="1">
      <c r="A10" s="7"/>
      <c r="B10" t="s" s="8">
        <v>4</v>
      </c>
      <c r="C10" s="17">
        <v>1.15</v>
      </c>
      <c r="D10" s="10"/>
      <c r="E10" s="5"/>
      <c r="F10" s="6"/>
      <c r="G10" s="6"/>
    </row>
    <row r="11" ht="15" customHeight="1">
      <c r="A11" s="2"/>
      <c r="B11" s="18"/>
      <c r="C11" s="11"/>
      <c r="D11" s="4"/>
      <c r="E11" s="5"/>
      <c r="F11" s="6"/>
      <c r="G11" s="6"/>
    </row>
    <row r="12" ht="15" customHeight="1">
      <c r="A12" s="2"/>
      <c r="B12" t="s" s="12">
        <v>5</v>
      </c>
      <c r="C12" s="19">
        <v>0.4</v>
      </c>
      <c r="D12" s="4"/>
      <c r="E12" s="5"/>
      <c r="F12" s="6"/>
      <c r="G12" s="6"/>
    </row>
    <row r="13" ht="15" customHeight="1">
      <c r="A13" s="2"/>
      <c r="B13" s="20"/>
      <c r="C13" s="20"/>
      <c r="D13" s="4"/>
      <c r="E13" s="5"/>
      <c r="F13" s="6"/>
      <c r="G13" s="6"/>
    </row>
    <row r="14" ht="15" customHeight="1">
      <c r="A14" s="2"/>
      <c r="B14" s="21"/>
      <c r="C14" s="21"/>
      <c r="D14" s="4"/>
      <c r="E14" s="5"/>
      <c r="F14" s="6"/>
      <c r="G14" s="6"/>
    </row>
    <row r="15" ht="15" customHeight="1">
      <c r="A15" s="2"/>
      <c r="B15" t="s" s="22">
        <v>6</v>
      </c>
      <c r="C15" s="14"/>
      <c r="D15" s="4"/>
      <c r="E15" s="5"/>
      <c r="F15" s="6"/>
      <c r="G15" s="6"/>
    </row>
    <row r="16" ht="15" customHeight="1">
      <c r="A16" s="2"/>
      <c r="B16" s="14"/>
      <c r="C16" s="14"/>
      <c r="D16" s="4"/>
      <c r="E16" s="5"/>
      <c r="F16" s="6"/>
      <c r="G16" s="6"/>
    </row>
    <row r="17" ht="15" customHeight="1">
      <c r="A17" s="2"/>
      <c r="B17" t="s" s="15">
        <v>7</v>
      </c>
      <c r="C17" s="16">
        <f>C2*(1-C4)</f>
        <v>0.039</v>
      </c>
      <c r="D17" s="4"/>
      <c r="E17" s="5"/>
      <c r="F17" s="6"/>
      <c r="G17" s="6"/>
    </row>
    <row r="18" ht="15" customHeight="1">
      <c r="A18" s="2"/>
      <c r="B18" s="14"/>
      <c r="C18" s="14"/>
      <c r="D18" s="4"/>
      <c r="E18" s="5"/>
      <c r="F18" s="6"/>
      <c r="G18" s="6"/>
    </row>
    <row r="19" ht="15" customHeight="1">
      <c r="A19" s="2"/>
      <c r="B19" t="s" s="15">
        <v>8</v>
      </c>
      <c r="C19" s="23">
        <f>C12/(1+C12)</f>
        <v>0.2857142857142858</v>
      </c>
      <c r="D19" s="4"/>
      <c r="E19" s="5"/>
      <c r="F19" s="6"/>
      <c r="G19" s="6"/>
    </row>
    <row r="20" ht="15" customHeight="1">
      <c r="A20" s="2"/>
      <c r="B20" s="6"/>
      <c r="C20" s="6"/>
      <c r="D20" s="4"/>
      <c r="E20" s="5"/>
      <c r="F20" s="6"/>
      <c r="G20" s="6"/>
    </row>
    <row r="21" ht="15" customHeight="1">
      <c r="A21" s="2"/>
      <c r="B21" t="s" s="15">
        <v>9</v>
      </c>
      <c r="C21" s="16">
        <f>C6+C10*(C8)</f>
        <v>0.10325</v>
      </c>
      <c r="D21" s="4"/>
      <c r="E21" s="5"/>
      <c r="F21" s="6"/>
      <c r="G21" s="6"/>
    </row>
    <row r="22" ht="15" customHeight="1">
      <c r="A22" s="2"/>
      <c r="B22" s="14"/>
      <c r="C22" s="14"/>
      <c r="D22" s="4"/>
      <c r="E22" s="5"/>
      <c r="F22" s="6"/>
      <c r="G22" s="6"/>
    </row>
    <row r="23" ht="15" customHeight="1">
      <c r="A23" s="2"/>
      <c r="B23" t="s" s="15">
        <v>10</v>
      </c>
      <c r="C23" s="23">
        <f>1-C19</f>
        <v>0.7142857142857142</v>
      </c>
      <c r="D23" s="4"/>
      <c r="E23" s="5"/>
      <c r="F23" s="6"/>
      <c r="G23" s="6"/>
    </row>
    <row r="24" ht="15" customHeight="1">
      <c r="A24" s="2"/>
      <c r="B24" s="14"/>
      <c r="C24" s="14"/>
      <c r="D24" s="4"/>
      <c r="E24" s="5"/>
      <c r="F24" s="6"/>
      <c r="G24" s="6"/>
    </row>
    <row r="25" ht="15" customHeight="1">
      <c r="A25" s="2"/>
      <c r="B25" t="s" s="24">
        <v>11</v>
      </c>
      <c r="C25" s="25">
        <f>C17*C19+C21*C23</f>
        <v>0.08489285714285714</v>
      </c>
      <c r="D25" s="4"/>
      <c r="E25" s="5"/>
      <c r="F25" s="6"/>
      <c r="G25" s="6"/>
    </row>
    <row r="26" ht="14.65" customHeight="1">
      <c r="A26" s="26"/>
      <c r="B26" s="27"/>
      <c r="C26" s="27"/>
      <c r="D26" s="28"/>
      <c r="E26" s="5"/>
      <c r="F26" s="6"/>
      <c r="G26" s="6"/>
    </row>
  </sheetData>
  <pageMargins left="0.7" right="0.7" top="0.75" bottom="0.75" header="1.05" footer="0.3"/>
  <pageSetup firstPageNumber="1" fitToHeight="1" fitToWidth="1" scale="100" useFirstPageNumber="0" orientation="landscape" pageOrder="downThenOver"/>
  <headerFooter>
    <oddHeader>&amp;C&amp;"Calibri,Bold"&amp;22&amp;K000000WACC Calculations</oddHead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8.83333" defaultRowHeight="14.25" customHeight="1" outlineLevelRow="0" outlineLevelCol="0"/>
  <cols>
    <col min="1" max="1" width="16" style="29" customWidth="1"/>
    <col min="2" max="2" width="10.6719" style="29" customWidth="1"/>
    <col min="3" max="3" width="10.6719" style="29" customWidth="1"/>
    <col min="4" max="4" width="10.6719" style="29" customWidth="1"/>
    <col min="5" max="5" width="10.6719" style="29" customWidth="1"/>
    <col min="6" max="256" width="8.85156" style="29" customWidth="1"/>
  </cols>
  <sheetData>
    <row r="1" ht="15.5" customHeight="1">
      <c r="A1" s="30"/>
      <c r="B1" s="31"/>
      <c r="C1" t="s" s="32">
        <v>12</v>
      </c>
      <c r="D1" t="s" s="32">
        <v>13</v>
      </c>
      <c r="E1" t="s" s="33">
        <v>14</v>
      </c>
    </row>
    <row r="2" ht="15" customHeight="1">
      <c r="A2" s="2"/>
      <c r="B2" t="s" s="34">
        <v>15</v>
      </c>
      <c r="C2" t="s" s="34">
        <v>16</v>
      </c>
      <c r="D2" t="s" s="34">
        <v>17</v>
      </c>
      <c r="E2" t="s" s="35">
        <v>18</v>
      </c>
    </row>
    <row r="3" ht="15" customHeight="1">
      <c r="A3" s="2"/>
      <c r="B3" s="14"/>
      <c r="C3" s="14"/>
      <c r="D3" s="14"/>
      <c r="E3" s="4"/>
    </row>
    <row r="4" ht="15" customHeight="1">
      <c r="A4" t="s" s="36">
        <v>19</v>
      </c>
      <c r="B4" s="37">
        <v>1000</v>
      </c>
      <c r="C4" s="38">
        <f t="shared" si="0" ref="C4:C8">'Cost of Capital'!$C$25</f>
        <v>0.08489285714285714</v>
      </c>
      <c r="D4" s="39">
        <v>5</v>
      </c>
      <c r="E4" s="40">
        <f>-PV(C4,5,B4,0)</f>
        <v>3941.746422879761</v>
      </c>
    </row>
    <row r="5" ht="15" customHeight="1">
      <c r="A5" s="2"/>
      <c r="B5" s="37"/>
      <c r="C5" s="41"/>
      <c r="D5" s="39"/>
      <c r="E5" s="42"/>
    </row>
    <row r="6" ht="15" customHeight="1">
      <c r="A6" t="s" s="36">
        <v>20</v>
      </c>
      <c r="B6" s="37">
        <v>1500</v>
      </c>
      <c r="C6" s="38">
        <f t="shared" si="0"/>
        <v>0.08489285714285714</v>
      </c>
      <c r="D6" s="39">
        <v>5</v>
      </c>
      <c r="E6" s="40">
        <f>-PV(C6,5,B6,0)</f>
        <v>5912.619634319642</v>
      </c>
    </row>
    <row r="7" ht="15" customHeight="1">
      <c r="A7" s="2"/>
      <c r="B7" s="37"/>
      <c r="C7" s="41"/>
      <c r="D7" s="39"/>
      <c r="E7" s="42"/>
    </row>
    <row r="8" ht="15" customHeight="1">
      <c r="A8" t="s" s="36">
        <v>21</v>
      </c>
      <c r="B8" s="37">
        <v>1000</v>
      </c>
      <c r="C8" s="38">
        <f t="shared" si="0"/>
        <v>0.08489285714285714</v>
      </c>
      <c r="D8" s="39">
        <v>5</v>
      </c>
      <c r="E8" s="40">
        <f>-PV(C8,5,B8,0)</f>
        <v>3941.746422879761</v>
      </c>
    </row>
    <row r="9" ht="14.65" customHeight="1">
      <c r="A9" s="26"/>
      <c r="B9" s="27"/>
      <c r="C9" s="27"/>
      <c r="D9" s="27"/>
      <c r="E9" s="28"/>
    </row>
    <row r="10" ht="15.5" customHeight="1">
      <c r="A10" s="43"/>
      <c r="B10" s="43"/>
      <c r="C10" s="43"/>
      <c r="D10" s="43"/>
      <c r="E10" s="43"/>
    </row>
  </sheetData>
  <conditionalFormatting sqref="E4 E6 E8">
    <cfRule type="cellIs" dxfId="0" priority="1" operator="lessThan" stopIfTrue="1">
      <formula>0</formula>
    </cfRule>
  </conditionalFormatting>
  <pageMargins left="0.7" right="0.7" top="0.75" bottom="0.75" header="2.55" footer="0.3"/>
  <pageSetup firstPageNumber="1" fitToHeight="1" fitToWidth="1" scale="100" useFirstPageNumber="0" orientation="landscape" pageOrder="downThenOver"/>
  <headerFooter>
    <oddHeader>&amp;C&amp;"Calibri,Bold"&amp;22&amp;K000000Warranty Calculations</oddHeader>
    <oddFooter>&amp;L&amp;"Calibri,Regular"&amp;11&amp;K000000GJS File:  500D - Road King Trucks -  Spreadsheets Calculations - Template.xlsx&amp;R&amp;"Calibri,Regular"&amp;11&amp;K000000Created:  4/19/2010
Revised:  18/12/3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46"/>
  <sheetViews>
    <sheetView workbookViewId="0" showGridLines="0" defaultGridColor="1"/>
  </sheetViews>
  <sheetFormatPr defaultColWidth="8.83333" defaultRowHeight="14.25" customHeight="1" outlineLevelRow="0" outlineLevelCol="0"/>
  <cols>
    <col min="1" max="1" width="34" style="44" customWidth="1"/>
    <col min="2" max="2" width="9.67188" style="44" customWidth="1"/>
    <col min="3" max="3" width="2.67188" style="44" customWidth="1"/>
    <col min="4" max="4" width="10.6719" style="44" customWidth="1"/>
    <col min="5" max="5" width="11.6719" style="44" customWidth="1"/>
    <col min="6" max="6" width="10.6719" style="44" customWidth="1"/>
    <col min="7" max="7" width="11.6719" style="44" customWidth="1"/>
    <col min="8" max="8" width="11.6719" style="44" customWidth="1"/>
    <col min="9" max="9" width="11.6719" style="44" customWidth="1"/>
    <col min="10" max="10" width="11.6719" style="44" customWidth="1"/>
    <col min="11" max="11" width="11.6719" style="44" customWidth="1"/>
    <col min="12" max="12" width="11.6719" style="44" customWidth="1"/>
    <col min="13" max="13" width="11.6719" style="44" customWidth="1"/>
    <col min="14" max="14" width="11.6719" style="44" customWidth="1"/>
    <col min="15" max="15" width="11.6719" style="44" customWidth="1"/>
    <col min="16" max="16" width="11.6719" style="44" customWidth="1"/>
    <col min="17" max="17" width="11.6719" style="44" customWidth="1"/>
    <col min="18" max="18" width="11.6719" style="44" customWidth="1"/>
    <col min="19" max="19" width="11.6719" style="44" customWidth="1"/>
    <col min="20" max="20" width="11.6719" style="44" customWidth="1"/>
    <col min="21" max="21" width="11.6719" style="44" customWidth="1"/>
    <col min="22" max="22" width="11.6719" style="44" customWidth="1"/>
    <col min="23" max="23" width="11.6719" style="44" customWidth="1"/>
    <col min="24" max="24" width="11.6719" style="44" customWidth="1"/>
    <col min="25" max="25" width="11.6719" style="44" customWidth="1"/>
    <col min="26" max="26" width="11.6719" style="44" customWidth="1"/>
    <col min="27" max="27" width="11.6719" style="44" customWidth="1"/>
    <col min="28" max="256" width="8.85156" style="44" customWidth="1"/>
  </cols>
  <sheetData>
    <row r="1" ht="21" customHeight="1">
      <c r="A1" t="s" s="45">
        <v>22</v>
      </c>
      <c r="B1" s="46"/>
      <c r="C1" s="6"/>
      <c r="D1" t="s" s="47">
        <v>23</v>
      </c>
      <c r="E1" t="s" s="47">
        <v>23</v>
      </c>
      <c r="F1" t="s" s="47">
        <v>23</v>
      </c>
      <c r="G1" t="s" s="47">
        <v>23</v>
      </c>
      <c r="H1" t="s" s="47">
        <v>23</v>
      </c>
      <c r="I1" t="s" s="47">
        <v>23</v>
      </c>
      <c r="J1" t="s" s="47">
        <v>23</v>
      </c>
      <c r="K1" t="s" s="47">
        <v>23</v>
      </c>
      <c r="L1" t="s" s="47">
        <v>23</v>
      </c>
      <c r="M1" t="s" s="47">
        <v>23</v>
      </c>
      <c r="N1" t="s" s="47">
        <v>23</v>
      </c>
      <c r="O1" t="s" s="47">
        <v>23</v>
      </c>
      <c r="P1" t="s" s="47">
        <v>23</v>
      </c>
      <c r="Q1" t="s" s="47">
        <v>23</v>
      </c>
      <c r="R1" t="s" s="47">
        <v>23</v>
      </c>
      <c r="S1" t="s" s="47">
        <v>23</v>
      </c>
      <c r="T1" t="s" s="47">
        <v>23</v>
      </c>
      <c r="U1" t="s" s="47">
        <v>23</v>
      </c>
      <c r="V1" t="s" s="47">
        <v>23</v>
      </c>
      <c r="W1" t="s" s="47">
        <v>23</v>
      </c>
      <c r="X1" t="s" s="47">
        <v>23</v>
      </c>
      <c r="Y1" t="s" s="47">
        <v>23</v>
      </c>
      <c r="Z1" t="s" s="47">
        <v>23</v>
      </c>
      <c r="AA1" s="6"/>
    </row>
    <row r="2" ht="15" customHeight="1">
      <c r="A2" s="6"/>
      <c r="B2" s="6"/>
      <c r="C2" s="6"/>
      <c r="D2" s="48">
        <v>0</v>
      </c>
      <c r="E2" s="48">
        <v>1</v>
      </c>
      <c r="F2" s="48">
        <v>2</v>
      </c>
      <c r="G2" s="48">
        <v>3</v>
      </c>
      <c r="H2" s="48">
        <v>4</v>
      </c>
      <c r="I2" s="48">
        <v>5</v>
      </c>
      <c r="J2" s="48">
        <v>6</v>
      </c>
      <c r="K2" s="48">
        <v>7</v>
      </c>
      <c r="L2" s="48">
        <v>8</v>
      </c>
      <c r="M2" s="48">
        <v>9</v>
      </c>
      <c r="N2" s="48">
        <v>10</v>
      </c>
      <c r="O2" s="48">
        <v>11</v>
      </c>
      <c r="P2" s="48">
        <v>12</v>
      </c>
      <c r="Q2" s="48">
        <v>13</v>
      </c>
      <c r="R2" s="48">
        <v>14</v>
      </c>
      <c r="S2" s="48">
        <v>15</v>
      </c>
      <c r="T2" s="48">
        <v>16</v>
      </c>
      <c r="U2" s="48">
        <v>17</v>
      </c>
      <c r="V2" s="48">
        <v>18</v>
      </c>
      <c r="W2" s="48">
        <v>19</v>
      </c>
      <c r="X2" s="48">
        <v>20</v>
      </c>
      <c r="Y2" s="48">
        <v>21</v>
      </c>
      <c r="Z2" s="48">
        <v>22</v>
      </c>
      <c r="AA2" s="6"/>
    </row>
    <row r="3" ht="15" customHeight="1">
      <c r="A3" t="s" s="22">
        <v>24</v>
      </c>
      <c r="B3" s="49"/>
      <c r="C3" s="6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6"/>
    </row>
    <row r="4" ht="15" customHeight="1">
      <c r="A4" t="s" s="22">
        <v>25</v>
      </c>
      <c r="B4" s="49"/>
      <c r="C4" s="6"/>
      <c r="D4" s="51">
        <v>0.015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6"/>
    </row>
    <row r="5" ht="15" customHeight="1">
      <c r="A5" t="s" s="15">
        <v>26</v>
      </c>
      <c r="B5" s="6"/>
      <c r="C5" s="6"/>
      <c r="D5" s="50"/>
      <c r="E5" s="50"/>
      <c r="F5" s="50"/>
      <c r="G5" s="50">
        <v>220000</v>
      </c>
      <c r="H5" s="50">
        <f>G5*(1+$D$4)</f>
        <v>223300</v>
      </c>
      <c r="I5" s="50">
        <f>H5*(1+$D$4)</f>
        <v>226649.4999999999</v>
      </c>
      <c r="J5" s="50">
        <f>I5*(1+$D$4)</f>
        <v>230049.2424999999</v>
      </c>
      <c r="K5" s="50">
        <f>J5*(1+$D$4)</f>
        <v>233499.9811374999</v>
      </c>
      <c r="L5" s="50">
        <f>K5*(1+$D$4)</f>
        <v>237002.4808545624</v>
      </c>
      <c r="M5" s="50">
        <f>L5*(1+$D$4)</f>
        <v>240557.5180673808</v>
      </c>
      <c r="N5" s="50">
        <f>M5*(1+$D$4)</f>
        <v>244165.8808383915</v>
      </c>
      <c r="O5" s="50">
        <f>N5*(1+$D$4)</f>
        <v>247828.3690509673</v>
      </c>
      <c r="P5" s="50">
        <f>O5*(1+$D$4)</f>
        <v>251545.7945867318</v>
      </c>
      <c r="Q5" s="50">
        <f>P5*(1+$D$4)</f>
        <v>255318.9815055328</v>
      </c>
      <c r="R5" s="50">
        <f>Q5*(1+$D$4)</f>
        <v>259148.7662281157</v>
      </c>
      <c r="S5" s="50">
        <f>R5*(1+$D$4)</f>
        <v>263035.9977215374</v>
      </c>
      <c r="T5" s="50">
        <f>S5*(1+$D$4)</f>
        <v>266981.5376873605</v>
      </c>
      <c r="U5" s="50">
        <f>T5*(1+$D$4)</f>
        <v>270986.2607526709</v>
      </c>
      <c r="V5" s="50">
        <f>U5*(1+$D$4)</f>
        <v>275051.0546639609</v>
      </c>
      <c r="W5" s="50">
        <f>V5*(1+$D$4)</f>
        <v>279176.8204839203</v>
      </c>
      <c r="X5" s="50">
        <f>W5*(1+$D$4)</f>
        <v>283364.4727911791</v>
      </c>
      <c r="Y5" s="50">
        <f>X5*(1+$D$4)</f>
        <v>287614.9398830468</v>
      </c>
      <c r="Z5" s="50">
        <f>Y5*(1+$D$4)</f>
        <v>291929.1639812925</v>
      </c>
      <c r="AA5" s="6"/>
    </row>
    <row r="6" ht="15" customHeight="1">
      <c r="A6" t="s" s="15">
        <v>27</v>
      </c>
      <c r="B6" s="6"/>
      <c r="C6" s="6"/>
      <c r="D6" s="50"/>
      <c r="E6" s="50"/>
      <c r="F6" s="50"/>
      <c r="G6" s="50">
        <v>11000</v>
      </c>
      <c r="H6" s="50">
        <v>11000</v>
      </c>
      <c r="I6" s="50">
        <v>11000</v>
      </c>
      <c r="J6" s="50">
        <v>11000</v>
      </c>
      <c r="K6" s="50">
        <v>11000</v>
      </c>
      <c r="L6" s="50">
        <v>11000</v>
      </c>
      <c r="M6" s="50">
        <v>11000</v>
      </c>
      <c r="N6" s="50">
        <v>11000</v>
      </c>
      <c r="O6" s="50">
        <v>11000</v>
      </c>
      <c r="P6" s="50">
        <v>11000</v>
      </c>
      <c r="Q6" s="50">
        <v>11000</v>
      </c>
      <c r="R6" s="50">
        <v>11000</v>
      </c>
      <c r="S6" s="50">
        <v>11000</v>
      </c>
      <c r="T6" s="50">
        <v>11000</v>
      </c>
      <c r="U6" s="50">
        <v>11000</v>
      </c>
      <c r="V6" s="50">
        <v>11000</v>
      </c>
      <c r="W6" s="50">
        <v>11000</v>
      </c>
      <c r="X6" s="50">
        <v>11000</v>
      </c>
      <c r="Y6" s="50">
        <v>11000</v>
      </c>
      <c r="Z6" s="50">
        <v>11000</v>
      </c>
      <c r="AA6" s="6"/>
    </row>
    <row r="7" ht="15" customHeight="1">
      <c r="A7" s="6"/>
      <c r="B7" s="6"/>
      <c r="C7" s="6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6"/>
    </row>
    <row r="8" ht="15" customHeight="1">
      <c r="A8" t="s" s="24">
        <v>28</v>
      </c>
      <c r="B8" s="52"/>
      <c r="C8" s="52"/>
      <c r="D8" s="53"/>
      <c r="E8" s="53"/>
      <c r="F8" s="53"/>
      <c r="G8" s="53">
        <f>G5*G6/1000</f>
        <v>2420000</v>
      </c>
      <c r="H8" s="53">
        <f>H5*H6/1000</f>
        <v>2456300</v>
      </c>
      <c r="I8" s="53">
        <f>I5*I6/1000</f>
        <v>2493144.5</v>
      </c>
      <c r="J8" s="53">
        <f>J5*J6/1000</f>
        <v>2530541.667499999</v>
      </c>
      <c r="K8" s="53">
        <f>K5*K6/1000</f>
        <v>2568499.792512499</v>
      </c>
      <c r="L8" s="53">
        <f>L5*L6/1000</f>
        <v>2607027.289400186</v>
      </c>
      <c r="M8" s="53">
        <f>M5*M6/1000</f>
        <v>2646132.698741189</v>
      </c>
      <c r="N8" s="53">
        <f>N5*N6/1000</f>
        <v>2685824.689222306</v>
      </c>
      <c r="O8" s="53">
        <f>O5*O6/1000</f>
        <v>2726112.059560641</v>
      </c>
      <c r="P8" s="53">
        <f>P5*P6/1000</f>
        <v>2767003.74045405</v>
      </c>
      <c r="Q8" s="53">
        <f>Q5*Q6/1000</f>
        <v>2808508.796560861</v>
      </c>
      <c r="R8" s="53">
        <f>R5*R6/1000</f>
        <v>2850636.428509273</v>
      </c>
      <c r="S8" s="53">
        <f>S5*S6/1000</f>
        <v>2893395.974936911</v>
      </c>
      <c r="T8" s="53">
        <f>T5*T6/1000</f>
        <v>2936796.914560966</v>
      </c>
      <c r="U8" s="53">
        <f>U5*U6/1000</f>
        <v>2980848.86827938</v>
      </c>
      <c r="V8" s="53">
        <f>V5*V6/1000</f>
        <v>3025561.60130357</v>
      </c>
      <c r="W8" s="53">
        <f>W5*W6/1000</f>
        <v>3070945.025323124</v>
      </c>
      <c r="X8" s="53">
        <f>X5*X6/1000</f>
        <v>3117009.20070297</v>
      </c>
      <c r="Y8" s="53">
        <f>Y5*Y6/1000</f>
        <v>3163764.338713515</v>
      </c>
      <c r="Z8" s="53">
        <f>Z5*Z6/1000</f>
        <v>3211220.803794217</v>
      </c>
      <c r="AA8" s="6"/>
    </row>
    <row r="9" ht="15" customHeight="1">
      <c r="A9" s="6"/>
      <c r="B9" s="6"/>
      <c r="C9" s="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6"/>
    </row>
    <row r="10" ht="15" customHeight="1">
      <c r="A10" t="s" s="15">
        <v>29</v>
      </c>
      <c r="B10" s="6"/>
      <c r="C10" s="6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6"/>
    </row>
    <row r="11" ht="15" customHeight="1">
      <c r="A11" t="s" s="15">
        <v>30</v>
      </c>
      <c r="B11" s="6"/>
      <c r="C11" s="6"/>
      <c r="D11" s="50"/>
      <c r="E11" s="50"/>
      <c r="F11" s="50"/>
      <c r="G11" s="50">
        <f>-G6*50</f>
        <v>-550000</v>
      </c>
      <c r="H11" s="50">
        <f>G11*(1+$D$4)</f>
        <v>-558250</v>
      </c>
      <c r="I11" s="50">
        <f>H11*(1+$D$4)</f>
        <v>-566623.75</v>
      </c>
      <c r="J11" s="50">
        <f>I11*(1+$D$4)</f>
        <v>-575123.10625</v>
      </c>
      <c r="K11" s="50">
        <f>J11*(1+$D$4)</f>
        <v>-583749.9528437499</v>
      </c>
      <c r="L11" s="50">
        <f>K11*(1+$D$4)</f>
        <v>-592506.2021364061</v>
      </c>
      <c r="M11" s="50">
        <f>L11*(1+$D$4)</f>
        <v>-601393.7951684521</v>
      </c>
      <c r="N11" s="50">
        <f>M11*(1+$D$4)</f>
        <v>-610414.7020959788</v>
      </c>
      <c r="O11" s="50">
        <f>N11*(1+$D$4)</f>
        <v>-619570.9226274184</v>
      </c>
      <c r="P11" s="50">
        <f>O11*(1+$D$4)</f>
        <v>-628864.4864668297</v>
      </c>
      <c r="Q11" s="50">
        <f>P11*(1+$D$4)</f>
        <v>-638297.4537638321</v>
      </c>
      <c r="R11" s="50">
        <f>Q11*(1+$D$4)</f>
        <v>-647871.9155702895</v>
      </c>
      <c r="S11" s="50">
        <f>R11*(1+$D$4)</f>
        <v>-657589.9943038437</v>
      </c>
      <c r="T11" s="50">
        <f>S11*(1+$D$4)</f>
        <v>-667453.8442184012</v>
      </c>
      <c r="U11" s="50">
        <f>T11*(1+$D$4)</f>
        <v>-677465.6518816772</v>
      </c>
      <c r="V11" s="50">
        <f>U11*(1+$D$4)</f>
        <v>-687627.6366599023</v>
      </c>
      <c r="W11" s="50">
        <f>V11*(1+$D$4)</f>
        <v>-697942.0512098008</v>
      </c>
      <c r="X11" s="50">
        <f>W11*(1+$D$4)</f>
        <v>-708411.1819779477</v>
      </c>
      <c r="Y11" s="50">
        <f>X11*(1+$D$4)</f>
        <v>-719037.3497076168</v>
      </c>
      <c r="Z11" s="50">
        <f>Y11*(1+$D$4)</f>
        <v>-729822.909953231</v>
      </c>
      <c r="AA11" s="6"/>
    </row>
    <row r="12" ht="15" customHeight="1">
      <c r="A12" t="s" s="15">
        <v>31</v>
      </c>
      <c r="B12" s="6"/>
      <c r="C12" s="6"/>
      <c r="D12" s="50"/>
      <c r="E12" s="50"/>
      <c r="F12" s="50"/>
      <c r="G12" s="50">
        <f>-G6*95</f>
        <v>-1045000</v>
      </c>
      <c r="H12" s="50">
        <f>G12*(1+$D$4)</f>
        <v>-1060675</v>
      </c>
      <c r="I12" s="50">
        <f>H12*(1+$D$4)</f>
        <v>-1076585.125</v>
      </c>
      <c r="J12" s="50">
        <f>I12*(1+$D$4)</f>
        <v>-1092733.901875</v>
      </c>
      <c r="K12" s="50">
        <f>J12*(1+$D$4)</f>
        <v>-1109124.910403125</v>
      </c>
      <c r="L12" s="50">
        <f>K12*(1+$D$4)</f>
        <v>-1125761.784059172</v>
      </c>
      <c r="M12" s="50">
        <f>L12*(1+$D$4)</f>
        <v>-1142648.210820059</v>
      </c>
      <c r="N12" s="50">
        <f>M12*(1+$D$4)</f>
        <v>-1159787.93398236</v>
      </c>
      <c r="O12" s="50">
        <f>N12*(1+$D$4)</f>
        <v>-1177184.752992095</v>
      </c>
      <c r="P12" s="50">
        <f>O12*(1+$D$4)</f>
        <v>-1194842.524286977</v>
      </c>
      <c r="Q12" s="50">
        <f>P12*(1+$D$4)</f>
        <v>-1212765.162151281</v>
      </c>
      <c r="R12" s="50">
        <f>Q12*(1+$D$4)</f>
        <v>-1230956.63958355</v>
      </c>
      <c r="S12" s="50">
        <f>R12*(1+$D$4)</f>
        <v>-1249420.989177304</v>
      </c>
      <c r="T12" s="50">
        <f>S12*(1+$D$4)</f>
        <v>-1268162.304014963</v>
      </c>
      <c r="U12" s="50">
        <f>T12*(1+$D$4)</f>
        <v>-1287184.738575188</v>
      </c>
      <c r="V12" s="50">
        <f>U12*(1+$D$4)</f>
        <v>-1306492.509653815</v>
      </c>
      <c r="W12" s="50">
        <f>V12*(1+$D$4)</f>
        <v>-1326089.897298622</v>
      </c>
      <c r="X12" s="50">
        <f>W12*(1+$D$4)</f>
        <v>-1345981.245758102</v>
      </c>
      <c r="Y12" s="50">
        <f>X12*(1+$D$4)</f>
        <v>-1366170.964444473</v>
      </c>
      <c r="Z12" s="50">
        <f>Y12*(1+$D$4)</f>
        <v>-1386663.52891114</v>
      </c>
      <c r="AA12" s="6"/>
    </row>
    <row r="13" ht="15" customHeight="1">
      <c r="A13" t="s" s="54">
        <v>32</v>
      </c>
      <c r="B13" s="55"/>
      <c r="C13" s="55"/>
      <c r="D13" s="50"/>
      <c r="E13" s="50"/>
      <c r="F13" s="50"/>
      <c r="G13" s="50">
        <f>-G6*22</f>
        <v>-242000</v>
      </c>
      <c r="H13" s="50">
        <f>G13*(1+$D$4)</f>
        <v>-245630</v>
      </c>
      <c r="I13" s="50">
        <f>H13*(1+$D$4)</f>
        <v>-249314.45</v>
      </c>
      <c r="J13" s="50">
        <f>I13*(1+$D$4)</f>
        <v>-253054.1667499999</v>
      </c>
      <c r="K13" s="50">
        <f>J13*(1+$D$4)</f>
        <v>-256849.9792512499</v>
      </c>
      <c r="L13" s="50">
        <f>K13*(1+$D$4)</f>
        <v>-260702.7289400186</v>
      </c>
      <c r="M13" s="50">
        <f>L13*(1+$D$4)</f>
        <v>-264613.2698741189</v>
      </c>
      <c r="N13" s="50">
        <f>M13*(1+$D$4)</f>
        <v>-268582.4689222306</v>
      </c>
      <c r="O13" s="50">
        <f>N13*(1+$D$4)</f>
        <v>-272611.2059560641</v>
      </c>
      <c r="P13" s="50">
        <f>O13*(1+$D$4)</f>
        <v>-276700.374045405</v>
      </c>
      <c r="Q13" s="50">
        <f>P13*(1+$D$4)</f>
        <v>-280850.879656086</v>
      </c>
      <c r="R13" s="50">
        <f>Q13*(1+$D$4)</f>
        <v>-285063.6428509273</v>
      </c>
      <c r="S13" s="50">
        <f>R13*(1+$D$4)</f>
        <v>-289339.5974936912</v>
      </c>
      <c r="T13" s="50">
        <f>S13*(1+$D$4)</f>
        <v>-293679.6914560965</v>
      </c>
      <c r="U13" s="50">
        <f>T13*(1+$D$4)</f>
        <v>-298084.886827938</v>
      </c>
      <c r="V13" s="50">
        <f>U13*(1+$D$4)</f>
        <v>-302556.160130357</v>
      </c>
      <c r="W13" s="50">
        <f>V13*(1+$D$4)</f>
        <v>-307094.5025323124</v>
      </c>
      <c r="X13" s="50">
        <f>W13*(1+$D$4)</f>
        <v>-311700.920070297</v>
      </c>
      <c r="Y13" s="50">
        <f>X13*(1+$D$4)</f>
        <v>-316376.4338713515</v>
      </c>
      <c r="Z13" s="50">
        <f>Y13*(1+$D$4)</f>
        <v>-321122.0803794217</v>
      </c>
      <c r="AA13" s="6"/>
    </row>
    <row r="14" ht="15" customHeight="1">
      <c r="A14" t="s" s="24">
        <v>33</v>
      </c>
      <c r="B14" s="52"/>
      <c r="C14" s="52"/>
      <c r="D14" s="53"/>
      <c r="E14" s="53"/>
      <c r="F14" s="53"/>
      <c r="G14" s="53">
        <f>G8+SUM(G10:G13)</f>
        <v>583000</v>
      </c>
      <c r="H14" s="53">
        <f>H8+SUM(H10:H13)</f>
        <v>591744.9999999995</v>
      </c>
      <c r="I14" s="53">
        <f>I8+SUM(I10:I13)</f>
        <v>600621.1749999996</v>
      </c>
      <c r="J14" s="53">
        <f>J8+SUM(J10:J13)</f>
        <v>609630.4926249993</v>
      </c>
      <c r="K14" s="53">
        <f>K8+SUM(K10:K13)</f>
        <v>618774.950014374</v>
      </c>
      <c r="L14" s="53">
        <f>L8+SUM(L10:L13)</f>
        <v>628056.5742645895</v>
      </c>
      <c r="M14" s="53">
        <f>M8+SUM(M10:M13)</f>
        <v>637477.4228785585</v>
      </c>
      <c r="N14" s="53">
        <f>N8+SUM(N10:N13)</f>
        <v>647039.5842217368</v>
      </c>
      <c r="O14" s="53">
        <f>O8+SUM(O10:O13)</f>
        <v>656745.1779850628</v>
      </c>
      <c r="P14" s="53">
        <f>P8+SUM(P10:P13)</f>
        <v>666596.355654839</v>
      </c>
      <c r="Q14" s="53">
        <f>Q8+SUM(Q10:Q13)</f>
        <v>676595.3009896614</v>
      </c>
      <c r="R14" s="53">
        <f>R8+SUM(R10:R13)</f>
        <v>686744.2305045058</v>
      </c>
      <c r="S14" s="53">
        <f>S8+SUM(S10:S13)</f>
        <v>697045.3939620727</v>
      </c>
      <c r="T14" s="53">
        <f>T8+SUM(T10:T13)</f>
        <v>707501.0748715047</v>
      </c>
      <c r="U14" s="53">
        <f>U8+SUM(U10:U13)</f>
        <v>718113.5909945774</v>
      </c>
      <c r="V14" s="53">
        <f>V8+SUM(V10:V13)</f>
        <v>728885.2948594959</v>
      </c>
      <c r="W14" s="53">
        <f>W8+SUM(W10:W13)</f>
        <v>739818.5742823887</v>
      </c>
      <c r="X14" s="53">
        <f>X8+SUM(X10:X13)</f>
        <v>750915.8528966242</v>
      </c>
      <c r="Y14" s="53">
        <f>Y8+SUM(Y10:Y13)</f>
        <v>762179.5906900731</v>
      </c>
      <c r="Z14" s="53">
        <f>Z8+SUM(Z10:Z13)</f>
        <v>773612.2845504247</v>
      </c>
      <c r="AA14" s="6"/>
    </row>
    <row r="15" ht="15" customHeight="1">
      <c r="A15" s="52"/>
      <c r="B15" s="5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6"/>
    </row>
    <row r="16" ht="15" customHeight="1">
      <c r="A16" t="s" s="15">
        <v>34</v>
      </c>
      <c r="B16" s="6"/>
      <c r="C16" s="6"/>
      <c r="D16" s="50"/>
      <c r="E16" s="6"/>
      <c r="F16" s="50">
        <v>-100000</v>
      </c>
      <c r="G16" s="50">
        <v>-100000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6"/>
    </row>
    <row r="17" ht="15" customHeight="1">
      <c r="A17" t="s" s="15">
        <v>35</v>
      </c>
      <c r="B17" s="6"/>
      <c r="C17" s="6"/>
      <c r="D17" s="50"/>
      <c r="E17" s="50"/>
      <c r="F17" s="50"/>
      <c r="G17" s="50">
        <v>-12500</v>
      </c>
      <c r="H17" s="50">
        <f>G17*(1+$D$4)</f>
        <v>-12687.5</v>
      </c>
      <c r="I17" s="50">
        <f>H17*(1+$D$4)</f>
        <v>-12877.8125</v>
      </c>
      <c r="J17" s="50">
        <f>I17*(1+$D$4)</f>
        <v>-13070.9796875</v>
      </c>
      <c r="K17" s="50">
        <f>J17*(1+$D$4)</f>
        <v>-13267.044382812493</v>
      </c>
      <c r="L17" s="50">
        <f>K17*(1+$D$4)</f>
        <v>-13466.050048554680</v>
      </c>
      <c r="M17" s="50">
        <f>L17*(1+$D$4)</f>
        <v>-13668.040799283</v>
      </c>
      <c r="N17" s="50">
        <f>M17*(1+$D$4)</f>
        <v>-13873.061411272241</v>
      </c>
      <c r="O17" s="50">
        <f>N17*(1+$D$4)</f>
        <v>-14081.157332441324</v>
      </c>
      <c r="P17" s="50">
        <f>O17*(1+$D$4)</f>
        <v>-14292.374692427942</v>
      </c>
      <c r="Q17" s="50">
        <f>P17*(1+$D$4)</f>
        <v>-14506.760312814360</v>
      </c>
      <c r="R17" s="50">
        <f>Q17*(1+$D$4)</f>
        <v>-14724.361717506574</v>
      </c>
      <c r="S17" s="50">
        <f>R17*(1+$D$4)</f>
        <v>-14945.227143269170</v>
      </c>
      <c r="T17" s="50">
        <f>S17*(1+$D$4)</f>
        <v>-15169.405550418207</v>
      </c>
      <c r="U17" s="50">
        <f>T17*(1+$D$4)</f>
        <v>-15396.946633674479</v>
      </c>
      <c r="V17" s="50">
        <f>U17*(1+$D$4)</f>
        <v>-15627.900833179594</v>
      </c>
      <c r="W17" s="50">
        <f>V17*(1+$D$4)</f>
        <v>-15862.319345677286</v>
      </c>
      <c r="X17" s="50">
        <f>W17*(1+$D$4)</f>
        <v>-16100.254135862444</v>
      </c>
      <c r="Y17" s="50">
        <f>X17*(1+$D$4)</f>
        <v>-16341.757947900380</v>
      </c>
      <c r="Z17" s="50">
        <f>Y17*(1+$D$4)</f>
        <v>-16586.884317118886</v>
      </c>
      <c r="AA17" s="50">
        <f>SUM(G17:Z17)</f>
        <v>-289045.8387917131</v>
      </c>
    </row>
    <row r="18" ht="15" customHeight="1">
      <c r="A18" t="s" s="15">
        <v>36</v>
      </c>
      <c r="B18" s="56"/>
      <c r="C18" s="6"/>
      <c r="D18" s="50"/>
      <c r="E18" s="50"/>
      <c r="F18" s="50"/>
      <c r="G18" s="50">
        <f>-G6*'Warranty Costs'!$E$4/1000</f>
        <v>-43359.210651677371</v>
      </c>
      <c r="H18" s="50">
        <f>G18*(1+$D$4)</f>
        <v>-44009.598811452524</v>
      </c>
      <c r="I18" s="50">
        <f>H18*(1+$D$4)</f>
        <v>-44669.742793624311</v>
      </c>
      <c r="J18" s="50">
        <f>I18*(1+$D$4)</f>
        <v>-45339.788935528668</v>
      </c>
      <c r="K18" s="50">
        <f>J18*(1+$D$4)</f>
        <v>-46019.8857695616</v>
      </c>
      <c r="L18" s="50">
        <f>K18*(1+$D$4)</f>
        <v>-46710.184056105012</v>
      </c>
      <c r="M18" s="50">
        <f>L18*(1+$D$4)</f>
        <v>-47410.836816946583</v>
      </c>
      <c r="N18" s="50">
        <f>M18*(1+$D$4)</f>
        <v>-48121.999369200777</v>
      </c>
      <c r="O18" s="50">
        <f>N18*(1+$D$4)</f>
        <v>-48843.829359738782</v>
      </c>
      <c r="P18" s="50">
        <f>O18*(1+$D$4)</f>
        <v>-49576.486800134859</v>
      </c>
      <c r="Q18" s="50">
        <f>P18*(1+$D$4)</f>
        <v>-50320.134102136879</v>
      </c>
      <c r="R18" s="50">
        <f>Q18*(1+$D$4)</f>
        <v>-51074.936113668926</v>
      </c>
      <c r="S18" s="50">
        <f>R18*(1+$D$4)</f>
        <v>-51841.060155373954</v>
      </c>
      <c r="T18" s="50">
        <f>S18*(1+$D$4)</f>
        <v>-52618.676057704557</v>
      </c>
      <c r="U18" s="50">
        <f>T18*(1+$D$4)</f>
        <v>-53407.956198570122</v>
      </c>
      <c r="V18" s="50">
        <f>U18*(1+$D$4)</f>
        <v>-54209.075541548671</v>
      </c>
      <c r="W18" s="50">
        <f>V18*(1+$D$4)</f>
        <v>-55022.2116746719</v>
      </c>
      <c r="X18" s="50">
        <f>W18*(1+$D$4)</f>
        <v>-55847.544849791972</v>
      </c>
      <c r="Y18" s="50">
        <f>X18*(1+$D$4)</f>
        <v>-56685.258022538845</v>
      </c>
      <c r="Z18" s="50">
        <f>Y18*(1+$D$4)</f>
        <v>-57535.536892876924</v>
      </c>
      <c r="AA18" s="6"/>
    </row>
    <row r="19" ht="15" customHeight="1">
      <c r="A19" t="s" s="15">
        <v>37</v>
      </c>
      <c r="B19" s="56"/>
      <c r="C19" s="6"/>
      <c r="D19" s="50"/>
      <c r="E19" s="50"/>
      <c r="F19" s="50"/>
      <c r="G19" s="50">
        <f>-G6*'Warranty Costs'!$E$8/1000</f>
        <v>-43359.210651677371</v>
      </c>
      <c r="H19" s="50">
        <f>G19*(1+$D$4)</f>
        <v>-44009.598811452524</v>
      </c>
      <c r="I19" s="50">
        <f>H19*(1+$D$4)</f>
        <v>-44669.742793624311</v>
      </c>
      <c r="J19" s="50">
        <f>I19*(1+$D$4)</f>
        <v>-45339.788935528668</v>
      </c>
      <c r="K19" s="50">
        <f>J19*(1+$D$4)</f>
        <v>-46019.8857695616</v>
      </c>
      <c r="L19" s="50">
        <f>K19*(1+$D$4)</f>
        <v>-46710.184056105012</v>
      </c>
      <c r="M19" s="50">
        <f>L19*(1+$D$4)</f>
        <v>-47410.836816946583</v>
      </c>
      <c r="N19" s="50">
        <f>M19*(1+$D$4)</f>
        <v>-48121.999369200777</v>
      </c>
      <c r="O19" s="50">
        <f>N19*(1+$D$4)</f>
        <v>-48843.829359738782</v>
      </c>
      <c r="P19" s="50">
        <f>O19*(1+$D$4)</f>
        <v>-49576.486800134859</v>
      </c>
      <c r="Q19" s="50">
        <f>P19*(1+$D$4)</f>
        <v>-50320.134102136879</v>
      </c>
      <c r="R19" s="50">
        <f>Q19*(1+$D$4)</f>
        <v>-51074.936113668926</v>
      </c>
      <c r="S19" s="50">
        <f>R19*(1+$D$4)</f>
        <v>-51841.060155373954</v>
      </c>
      <c r="T19" s="50">
        <f>S19*(1+$D$4)</f>
        <v>-52618.676057704557</v>
      </c>
      <c r="U19" s="50">
        <f>T19*(1+$D$4)</f>
        <v>-53407.956198570122</v>
      </c>
      <c r="V19" s="50">
        <f>U19*(1+$D$4)</f>
        <v>-54209.075541548671</v>
      </c>
      <c r="W19" s="50">
        <f>V19*(1+$D$4)</f>
        <v>-55022.2116746719</v>
      </c>
      <c r="X19" s="50">
        <f>W19*(1+$D$4)</f>
        <v>-55847.544849791972</v>
      </c>
      <c r="Y19" s="50">
        <f>X19*(1+$D$4)</f>
        <v>-56685.258022538845</v>
      </c>
      <c r="Z19" s="50">
        <f>Y19*(1+$D$4)</f>
        <v>-57535.536892876924</v>
      </c>
      <c r="AA19" s="6"/>
    </row>
    <row r="20" ht="15" customHeight="1">
      <c r="A20" t="s" s="54">
        <v>38</v>
      </c>
      <c r="B20" s="55"/>
      <c r="C20" s="55"/>
      <c r="D20" s="50"/>
      <c r="E20" s="50"/>
      <c r="F20" s="50"/>
      <c r="G20" s="57">
        <f t="shared" si="179" ref="G20:Z20">($D$30+$E$30+$F$30)/20</f>
        <v>-50000</v>
      </c>
      <c r="H20" s="57">
        <f t="shared" si="179"/>
        <v>-50000</v>
      </c>
      <c r="I20" s="57">
        <f t="shared" si="179"/>
        <v>-50000</v>
      </c>
      <c r="J20" s="57">
        <f t="shared" si="179"/>
        <v>-50000</v>
      </c>
      <c r="K20" s="57">
        <f t="shared" si="179"/>
        <v>-50000</v>
      </c>
      <c r="L20" s="57">
        <f t="shared" si="179"/>
        <v>-50000</v>
      </c>
      <c r="M20" s="57">
        <f t="shared" si="179"/>
        <v>-50000</v>
      </c>
      <c r="N20" s="57">
        <f t="shared" si="179"/>
        <v>-50000</v>
      </c>
      <c r="O20" s="57">
        <f t="shared" si="179"/>
        <v>-50000</v>
      </c>
      <c r="P20" s="57">
        <f t="shared" si="179"/>
        <v>-50000</v>
      </c>
      <c r="Q20" s="57">
        <f t="shared" si="179"/>
        <v>-50000</v>
      </c>
      <c r="R20" s="57">
        <f t="shared" si="179"/>
        <v>-50000</v>
      </c>
      <c r="S20" s="57">
        <f t="shared" si="179"/>
        <v>-50000</v>
      </c>
      <c r="T20" s="57">
        <f t="shared" si="179"/>
        <v>-50000</v>
      </c>
      <c r="U20" s="57">
        <f t="shared" si="179"/>
        <v>-50000</v>
      </c>
      <c r="V20" s="57">
        <f t="shared" si="179"/>
        <v>-50000</v>
      </c>
      <c r="W20" s="57">
        <f t="shared" si="179"/>
        <v>-50000</v>
      </c>
      <c r="X20" s="57">
        <f t="shared" si="179"/>
        <v>-50000</v>
      </c>
      <c r="Y20" s="57">
        <f t="shared" si="179"/>
        <v>-50000</v>
      </c>
      <c r="Z20" s="57">
        <f t="shared" si="179"/>
        <v>-50000</v>
      </c>
      <c r="AA20" s="50">
        <f>SUM(G20:Z20)</f>
        <v>-1000000</v>
      </c>
    </row>
    <row r="21" ht="15" customHeight="1">
      <c r="A21" t="s" s="24">
        <v>39</v>
      </c>
      <c r="B21" s="52"/>
      <c r="C21" s="52"/>
      <c r="D21" s="53"/>
      <c r="E21" s="53"/>
      <c r="F21" s="53"/>
      <c r="G21" s="58">
        <f>G14+SUM(G16:G20)</f>
        <v>333781.5786966453</v>
      </c>
      <c r="H21" s="58">
        <f>H14+SUM(H16:H20)</f>
        <v>441038.3023770945</v>
      </c>
      <c r="I21" s="58">
        <f>I14+SUM(I16:I20)</f>
        <v>448403.876912751</v>
      </c>
      <c r="J21" s="58">
        <f>J14+SUM(J16:J20)</f>
        <v>455879.9350664419</v>
      </c>
      <c r="K21" s="58">
        <f>K14+SUM(K16:K20)</f>
        <v>463468.1340924383</v>
      </c>
      <c r="L21" s="58">
        <f>L14+SUM(L16:L20)</f>
        <v>471170.1561038247</v>
      </c>
      <c r="M21" s="58">
        <f>M14+SUM(M16:M20)</f>
        <v>478987.7084453824</v>
      </c>
      <c r="N21" s="58">
        <f>N14+SUM(N16:N20)</f>
        <v>486922.524072063</v>
      </c>
      <c r="O21" s="58">
        <f>O14+SUM(O16:O20)</f>
        <v>494976.3619331439</v>
      </c>
      <c r="P21" s="58">
        <f>P14+SUM(P16:P20)</f>
        <v>503151.0073621413</v>
      </c>
      <c r="Q21" s="58">
        <f>Q14+SUM(Q16:Q20)</f>
        <v>511448.2724725732</v>
      </c>
      <c r="R21" s="58">
        <f>R14+SUM(R16:R20)</f>
        <v>519869.9965596613</v>
      </c>
      <c r="S21" s="58">
        <f>S14+SUM(S16:S20)</f>
        <v>528418.0465080556</v>
      </c>
      <c r="T21" s="58">
        <f>T14+SUM(T16:T20)</f>
        <v>537094.3172056774</v>
      </c>
      <c r="U21" s="58">
        <f>U14+SUM(U16:U20)</f>
        <v>545900.7319637627</v>
      </c>
      <c r="V21" s="58">
        <f>V14+SUM(V16:V20)</f>
        <v>554839.242943219</v>
      </c>
      <c r="W21" s="58">
        <f>W14+SUM(W16:W20)</f>
        <v>563911.8315873676</v>
      </c>
      <c r="X21" s="58">
        <f>X14+SUM(X16:X20)</f>
        <v>573120.5090611778</v>
      </c>
      <c r="Y21" s="58">
        <f>Y14+SUM(Y16:Y20)</f>
        <v>582467.3166970951</v>
      </c>
      <c r="Z21" s="58">
        <f>Z14+SUM(Z16:Z20)</f>
        <v>591954.326447552</v>
      </c>
      <c r="AA21" s="6"/>
    </row>
    <row r="22" ht="14.65" customHeight="1">
      <c r="A22" s="6"/>
      <c r="B22" s="59"/>
      <c r="C22" s="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6"/>
    </row>
    <row r="23" ht="14.65" customHeight="1">
      <c r="A23" t="s" s="60">
        <v>40</v>
      </c>
      <c r="B23" s="61">
        <v>0.4</v>
      </c>
      <c r="C23" s="5"/>
      <c r="D23" s="50"/>
      <c r="E23" s="50"/>
      <c r="F23" s="50"/>
      <c r="G23" s="50">
        <f>-G21*$B$23</f>
        <v>-133512.6314786581</v>
      </c>
      <c r="H23" s="50">
        <f>-H21*$B$23</f>
        <v>-176415.3209508378</v>
      </c>
      <c r="I23" s="50">
        <f>-I21*$B$23</f>
        <v>-179361.5507651004</v>
      </c>
      <c r="J23" s="50">
        <f>-J21*$B$23</f>
        <v>-182351.9740265768</v>
      </c>
      <c r="K23" s="50">
        <f>-K21*$B$23</f>
        <v>-185387.2536369753</v>
      </c>
      <c r="L23" s="50">
        <f>-L21*$B$23</f>
        <v>-188468.0624415299</v>
      </c>
      <c r="M23" s="50">
        <f>-M21*$B$23</f>
        <v>-191595.083378153</v>
      </c>
      <c r="N23" s="50">
        <f>-N21*$B$23</f>
        <v>-194769.0096288252</v>
      </c>
      <c r="O23" s="50">
        <f>-O21*$B$23</f>
        <v>-197990.5447732576</v>
      </c>
      <c r="P23" s="50">
        <f>-P21*$B$23</f>
        <v>-201260.4029448565</v>
      </c>
      <c r="Q23" s="50">
        <f>-Q21*$B$23</f>
        <v>-204579.3089890293</v>
      </c>
      <c r="R23" s="50">
        <f>-R21*$B$23</f>
        <v>-207947.9986238646</v>
      </c>
      <c r="S23" s="50">
        <f>-S21*$B$23</f>
        <v>-211367.2186032223</v>
      </c>
      <c r="T23" s="50">
        <f>-T21*$B$23</f>
        <v>-214837.726882271</v>
      </c>
      <c r="U23" s="50">
        <f>-U21*$B$23</f>
        <v>-218360.2927855051</v>
      </c>
      <c r="V23" s="50">
        <f>-V21*$B$23</f>
        <v>-221935.6971772876</v>
      </c>
      <c r="W23" s="50">
        <f>-W21*$B$23</f>
        <v>-225564.7326349471</v>
      </c>
      <c r="X23" s="50">
        <f>-X21*$B$23</f>
        <v>-229248.2036244711</v>
      </c>
      <c r="Y23" s="50">
        <f>-Y21*$B$23</f>
        <v>-232986.926678838</v>
      </c>
      <c r="Z23" s="50">
        <f>-Z21*$B$23</f>
        <v>-236781.7305790208</v>
      </c>
      <c r="AA23" s="6"/>
    </row>
    <row r="24" ht="15.5" customHeight="1">
      <c r="A24" t="s" s="24">
        <v>41</v>
      </c>
      <c r="B24" s="62"/>
      <c r="C24" s="6"/>
      <c r="D24" s="50"/>
      <c r="E24" s="50"/>
      <c r="F24" s="50"/>
      <c r="G24" s="53">
        <f>G21+G23</f>
        <v>200268.9472179872</v>
      </c>
      <c r="H24" s="53">
        <f>H21+H23</f>
        <v>264622.9814262567</v>
      </c>
      <c r="I24" s="53">
        <f>I21+I23</f>
        <v>269042.3261476506</v>
      </c>
      <c r="J24" s="53">
        <f>J21+J23</f>
        <v>273527.9610398652</v>
      </c>
      <c r="K24" s="53">
        <f>K21+K23</f>
        <v>278080.880455463</v>
      </c>
      <c r="L24" s="53">
        <f>L21+L23</f>
        <v>282702.0936622948</v>
      </c>
      <c r="M24" s="53">
        <f>M21+M23</f>
        <v>287392.6250672294</v>
      </c>
      <c r="N24" s="53">
        <f>N21+N23</f>
        <v>292153.5144432378</v>
      </c>
      <c r="O24" s="53">
        <f>O21+O23</f>
        <v>296985.8171598864</v>
      </c>
      <c r="P24" s="53">
        <f>P21+P23</f>
        <v>301890.6044172847</v>
      </c>
      <c r="Q24" s="53">
        <f>Q21+Q23</f>
        <v>306868.963483544</v>
      </c>
      <c r="R24" s="53">
        <f>R21+R23</f>
        <v>311921.9979357968</v>
      </c>
      <c r="S24" s="53">
        <f>S21+S23</f>
        <v>317050.8279048334</v>
      </c>
      <c r="T24" s="53">
        <f>T21+T23</f>
        <v>322256.5903234064</v>
      </c>
      <c r="U24" s="53">
        <f>U21+U23</f>
        <v>327540.4391782576</v>
      </c>
      <c r="V24" s="53">
        <f>V21+V23</f>
        <v>332903.5457659314</v>
      </c>
      <c r="W24" s="53">
        <f>W21+W23</f>
        <v>338347.0989524205</v>
      </c>
      <c r="X24" s="53">
        <f>X21+X23</f>
        <v>343872.3054367067</v>
      </c>
      <c r="Y24" s="53">
        <f>Y21+Y23</f>
        <v>349480.390018257</v>
      </c>
      <c r="Z24" s="53">
        <f>Z21+Z23</f>
        <v>355172.5958685311</v>
      </c>
      <c r="AA24" s="6"/>
    </row>
    <row r="25" ht="15" customHeight="1">
      <c r="A25" s="6"/>
      <c r="B25" s="6"/>
      <c r="C25" s="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6"/>
    </row>
    <row r="26" ht="15" customHeight="1">
      <c r="A26" t="s" s="24">
        <v>42</v>
      </c>
      <c r="B26" s="52"/>
      <c r="C26" s="6"/>
      <c r="D26" s="50"/>
      <c r="E26" s="53"/>
      <c r="F26" s="53">
        <v>-100000</v>
      </c>
      <c r="G26" s="53">
        <f>G24-G20</f>
        <v>250268.9472179872</v>
      </c>
      <c r="H26" s="53">
        <f>H24-H20</f>
        <v>314622.9814262567</v>
      </c>
      <c r="I26" s="53">
        <f>I24-I20</f>
        <v>319042.3261476506</v>
      </c>
      <c r="J26" s="53">
        <f>J24-J20</f>
        <v>323527.9610398652</v>
      </c>
      <c r="K26" s="53">
        <f>K24-K20</f>
        <v>328080.880455463</v>
      </c>
      <c r="L26" s="53">
        <f>L24-L20</f>
        <v>332702.0936622948</v>
      </c>
      <c r="M26" s="53">
        <f>M24-M20</f>
        <v>337392.6250672294</v>
      </c>
      <c r="N26" s="53">
        <f>N24-N20</f>
        <v>342153.5144432378</v>
      </c>
      <c r="O26" s="53">
        <f>O24-O20</f>
        <v>346985.8171598864</v>
      </c>
      <c r="P26" s="53">
        <f>P24-P20</f>
        <v>351890.6044172847</v>
      </c>
      <c r="Q26" s="53">
        <f>Q24-Q20</f>
        <v>356868.963483544</v>
      </c>
      <c r="R26" s="53">
        <f>R24-R20</f>
        <v>361921.9979357968</v>
      </c>
      <c r="S26" s="53">
        <f>S24-S20</f>
        <v>367050.8279048334</v>
      </c>
      <c r="T26" s="53">
        <f>T24-T20</f>
        <v>372256.5903234064</v>
      </c>
      <c r="U26" s="53">
        <f>U24-U20</f>
        <v>377540.4391782576</v>
      </c>
      <c r="V26" s="53">
        <f>V24-V20</f>
        <v>382903.5457659314</v>
      </c>
      <c r="W26" s="53">
        <f>W24-W20</f>
        <v>388347.0989524205</v>
      </c>
      <c r="X26" s="53">
        <f>X24-X20</f>
        <v>393872.3054367067</v>
      </c>
      <c r="Y26" s="53">
        <f>Y24-Y20</f>
        <v>399480.390018257</v>
      </c>
      <c r="Z26" s="53">
        <f>Z24-Z20</f>
        <v>405172.5958685311</v>
      </c>
      <c r="AA26" s="6"/>
    </row>
    <row r="27" ht="15" customHeight="1">
      <c r="A27" s="6"/>
      <c r="B27" s="6"/>
      <c r="C27" s="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6"/>
    </row>
    <row r="28" ht="15" customHeight="1">
      <c r="A28" t="s" s="22">
        <v>43</v>
      </c>
      <c r="B28" s="49"/>
      <c r="C28" s="6"/>
      <c r="D28" s="6"/>
      <c r="E28" s="6"/>
      <c r="F28" s="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6"/>
    </row>
    <row r="29" ht="15" customHeight="1">
      <c r="A29" t="s" s="15">
        <v>44</v>
      </c>
      <c r="B29" s="6"/>
      <c r="C29" s="6"/>
      <c r="D29" s="50">
        <v>-6000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6"/>
    </row>
    <row r="30" ht="15" customHeight="1">
      <c r="A30" t="s" s="15">
        <v>45</v>
      </c>
      <c r="B30" s="6"/>
      <c r="C30" s="6"/>
      <c r="D30" s="50">
        <v>-400000</v>
      </c>
      <c r="E30" s="50">
        <v>-500000</v>
      </c>
      <c r="F30" s="50">
        <v>-100000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>
        <f>SUM(D30:Z30)</f>
        <v>-1000000</v>
      </c>
    </row>
    <row r="31" ht="15" customHeight="1">
      <c r="A31" t="s" s="15">
        <v>46</v>
      </c>
      <c r="B31" s="6"/>
      <c r="C31" s="6"/>
      <c r="D31" s="50"/>
      <c r="E31" s="50"/>
      <c r="F31" s="50">
        <f>-G8*0.1</f>
        <v>-242000</v>
      </c>
      <c r="G31" s="50">
        <f>-H8*0.1</f>
        <v>-245630</v>
      </c>
      <c r="H31" s="50">
        <f>-I8*0.1</f>
        <v>-249314.45</v>
      </c>
      <c r="I31" s="50">
        <f>-J8*0.1</f>
        <v>-253054.1667499999</v>
      </c>
      <c r="J31" s="50">
        <f>-K8*0.1</f>
        <v>-256849.9792512499</v>
      </c>
      <c r="K31" s="50">
        <f>-L8*0.1</f>
        <v>-260702.7289400186</v>
      </c>
      <c r="L31" s="50">
        <f>-M8*0.1</f>
        <v>-264613.2698741189</v>
      </c>
      <c r="M31" s="50">
        <f>-N8*0.1</f>
        <v>-268582.4689222306</v>
      </c>
      <c r="N31" s="50">
        <f>-O8*0.1</f>
        <v>-272611.2059560641</v>
      </c>
      <c r="O31" s="50">
        <f>-P8*0.1</f>
        <v>-276700.374045405</v>
      </c>
      <c r="P31" s="50">
        <f>-Q8*0.1</f>
        <v>-280850.8796560861</v>
      </c>
      <c r="Q31" s="50">
        <f>-R8*0.1</f>
        <v>-285063.6428509273</v>
      </c>
      <c r="R31" s="50">
        <f>-S8*0.1</f>
        <v>-289339.5974936911</v>
      </c>
      <c r="S31" s="50">
        <f>-T8*0.1</f>
        <v>-293679.6914560966</v>
      </c>
      <c r="T31" s="50">
        <f>-U8*0.1</f>
        <v>-298084.886827938</v>
      </c>
      <c r="U31" s="50">
        <f>-V8*0.1</f>
        <v>-302556.1601303571</v>
      </c>
      <c r="V31" s="50">
        <f>-W8*0.1</f>
        <v>-307094.5025323124</v>
      </c>
      <c r="W31" s="50">
        <f>-X8*0.1</f>
        <v>-311700.920070297</v>
      </c>
      <c r="X31" s="50">
        <f>-Y8*0.1</f>
        <v>-316376.4338713515</v>
      </c>
      <c r="Y31" s="50">
        <f>-Z8*0.1</f>
        <v>-321122.0803794218</v>
      </c>
      <c r="Z31" s="50">
        <f>-SUM(F31:Y31)</f>
        <v>5595927.439007566</v>
      </c>
      <c r="AA31" s="6"/>
    </row>
    <row r="32" ht="15" customHeight="1">
      <c r="A32" s="6"/>
      <c r="B32" s="6"/>
      <c r="C32" s="6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6"/>
    </row>
    <row r="33" ht="15" customHeight="1">
      <c r="A33" t="s" s="22">
        <v>47</v>
      </c>
      <c r="B33" s="49"/>
      <c r="C33" s="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6"/>
    </row>
    <row r="34" ht="15" customHeight="1">
      <c r="A34" t="s" s="15">
        <v>44</v>
      </c>
      <c r="B34" s="6"/>
      <c r="C34" s="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>
        <f>FV(0.015,22,,-6000)</f>
        <v>8325.382194738171</v>
      </c>
      <c r="AA34" s="6"/>
    </row>
    <row r="35" ht="15" customHeight="1">
      <c r="A35" t="s" s="15">
        <v>48</v>
      </c>
      <c r="B35" s="6"/>
      <c r="C35" s="6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>
        <v>-3000</v>
      </c>
      <c r="AA35" s="6"/>
    </row>
    <row r="36" ht="15" customHeight="1">
      <c r="A36" t="s" s="15">
        <v>49</v>
      </c>
      <c r="B36" s="6"/>
      <c r="C36" s="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>
        <v>-300</v>
      </c>
      <c r="AA36" s="6"/>
    </row>
    <row r="37" ht="16.5" customHeight="1">
      <c r="A37" t="s" s="54">
        <v>50</v>
      </c>
      <c r="B37" s="55"/>
      <c r="C37" s="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63">
        <v>15000</v>
      </c>
      <c r="AA37" s="6"/>
    </row>
    <row r="38" ht="15" customHeight="1">
      <c r="A38" t="s" s="15">
        <v>51</v>
      </c>
      <c r="B38" s="6"/>
      <c r="C38" s="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>
        <f>SUM(Z34:Z37)</f>
        <v>20025.382194738173</v>
      </c>
      <c r="AA38" s="6"/>
    </row>
    <row r="39" ht="15" customHeight="1">
      <c r="A39" t="s" s="54">
        <v>52</v>
      </c>
      <c r="B39" s="55"/>
      <c r="C39" s="6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7">
        <f>-Z38*B23</f>
        <v>-8010.152877895270</v>
      </c>
      <c r="AA39" s="6"/>
    </row>
    <row r="40" ht="15" customHeight="1">
      <c r="A40" t="s" s="24">
        <v>53</v>
      </c>
      <c r="B40" s="52"/>
      <c r="C40" s="6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8">
        <f>Z38+Z39</f>
        <v>12015.2293168429</v>
      </c>
      <c r="AA40" s="6"/>
    </row>
    <row r="41" ht="15" customHeight="1">
      <c r="A41" s="6"/>
      <c r="B41" s="6"/>
      <c r="C41" s="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6"/>
    </row>
    <row r="42" ht="15" customHeight="1">
      <c r="A42" t="s" s="64">
        <v>54</v>
      </c>
      <c r="B42" s="65"/>
      <c r="C42" s="6"/>
      <c r="D42" s="53">
        <f>SUM(D26:D32)+D40</f>
        <v>-406000</v>
      </c>
      <c r="E42" s="53">
        <f>SUM(E26:E32)+E40</f>
        <v>-500000</v>
      </c>
      <c r="F42" s="53">
        <f>SUM(F26:F32)+F40</f>
        <v>-442000</v>
      </c>
      <c r="G42" s="53">
        <f>SUM(G26:G32)+G40</f>
        <v>4638.947217987181</v>
      </c>
      <c r="H42" s="53">
        <f>SUM(H26:H32)+H40</f>
        <v>65308.531426256755</v>
      </c>
      <c r="I42" s="53">
        <f>SUM(I26:I32)+I40</f>
        <v>65988.159397650685</v>
      </c>
      <c r="J42" s="53">
        <f>SUM(J26:J32)+J40</f>
        <v>66677.981788615260</v>
      </c>
      <c r="K42" s="53">
        <f>SUM(K26:K32)+K40</f>
        <v>67378.151515444362</v>
      </c>
      <c r="L42" s="53">
        <f>SUM(L26:L32)+L40</f>
        <v>68088.823788175883</v>
      </c>
      <c r="M42" s="53">
        <f>SUM(M26:M32)+M40</f>
        <v>68810.156144998735</v>
      </c>
      <c r="N42" s="53">
        <f>SUM(N26:N32)+N40</f>
        <v>69542.308487173694</v>
      </c>
      <c r="O42" s="53">
        <f>SUM(O26:O32)+O40</f>
        <v>70285.443114481342</v>
      </c>
      <c r="P42" s="53">
        <f>SUM(P26:P32)+P40</f>
        <v>71039.724761198624</v>
      </c>
      <c r="Q42" s="53">
        <f>SUM(Q26:Q32)+Q40</f>
        <v>71805.320632616640</v>
      </c>
      <c r="R42" s="53">
        <f>SUM(R26:R32)+R40</f>
        <v>72582.400442105660</v>
      </c>
      <c r="S42" s="53">
        <f>SUM(S26:S32)+S40</f>
        <v>73371.136448736768</v>
      </c>
      <c r="T42" s="53">
        <f>SUM(T26:T32)+T40</f>
        <v>74171.703495468420</v>
      </c>
      <c r="U42" s="53">
        <f>SUM(U26:U32)+U40</f>
        <v>74984.279047900520</v>
      </c>
      <c r="V42" s="53">
        <f>SUM(V26:V32)+V40</f>
        <v>75809.043233618955</v>
      </c>
      <c r="W42" s="53">
        <f>SUM(W26:W32)+W40</f>
        <v>76646.178882123495</v>
      </c>
      <c r="X42" s="53">
        <f>SUM(X26:X32)+X40</f>
        <v>77495.871565355221</v>
      </c>
      <c r="Y42" s="53">
        <f>SUM(Y26:Y32)+Y40</f>
        <v>78358.309638835257</v>
      </c>
      <c r="Z42" s="53">
        <f>SUM(Z26:Z32)+Z40</f>
        <v>6013115.26419294</v>
      </c>
      <c r="AA42" s="6"/>
    </row>
    <row r="43" ht="14.65" customHeight="1">
      <c r="A43" s="6"/>
      <c r="B43" s="59"/>
      <c r="C43" s="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6"/>
    </row>
    <row r="44" ht="14.65" customHeight="1">
      <c r="A44" t="s" s="66">
        <v>55</v>
      </c>
      <c r="B44" s="67">
        <f>'Cost of Capital'!C25</f>
        <v>0.08489285714285714</v>
      </c>
      <c r="C44" s="5"/>
      <c r="D44" t="s" s="68">
        <v>56</v>
      </c>
      <c r="E44" s="69">
        <f>D42+NPV(B44,E42:Z42)</f>
        <v>259081.8402437902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5.5" customHeight="1">
      <c r="A45" s="6"/>
      <c r="B45" s="43"/>
      <c r="C45" s="6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5" customHeight="1">
      <c r="A46" t="s" s="64">
        <v>57</v>
      </c>
      <c r="B46" s="65"/>
      <c r="C46" s="6"/>
      <c r="D46" t="s" s="68">
        <v>56</v>
      </c>
      <c r="E46" s="25">
        <f>IRR(D42:Z42)</f>
        <v>0.09703806677849254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</sheetData>
  <pageMargins left="0.45" right="0.45" top="0.75" bottom="0.5" header="0.3" footer="0.2"/>
  <pageSetup firstPageNumber="1" fitToHeight="1" fitToWidth="1" scale="100" useFirstPageNumber="0" orientation="landscape" pageOrder="downThenOver"/>
  <headerFooter>
    <oddHeader>&amp;C&amp;"Calibri,Bold"&amp;22&amp;K000000Road King Trucks:  Bus Project Evaluation</oddHeader>
    <oddFooter>&amp;L&amp;"Calibri,Regular"&amp;11&amp;K000000GJS File:  500D - Road King Trucks -  Spreadsheets Calculations - Template.xlsx&amp;R&amp;"Calibri,Regular"&amp;11&amp;K000000Created:  4/19/2010
Revised:  18/12/3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46"/>
  <sheetViews>
    <sheetView workbookViewId="0" showGridLines="0" defaultGridColor="1"/>
  </sheetViews>
  <sheetFormatPr defaultColWidth="8.83333" defaultRowHeight="14.25" customHeight="1" outlineLevelRow="0" outlineLevelCol="0"/>
  <cols>
    <col min="1" max="1" width="34" style="70" customWidth="1"/>
    <col min="2" max="2" width="9.67188" style="70" customWidth="1"/>
    <col min="3" max="3" width="2.67188" style="70" customWidth="1"/>
    <col min="4" max="4" width="10.6719" style="70" customWidth="1"/>
    <col min="5" max="5" width="11.6719" style="70" customWidth="1"/>
    <col min="6" max="6" width="10.6719" style="70" customWidth="1"/>
    <col min="7" max="7" width="11.6719" style="70" customWidth="1"/>
    <col min="8" max="8" width="11.6719" style="70" customWidth="1"/>
    <col min="9" max="9" width="11.6719" style="70" customWidth="1"/>
    <col min="10" max="10" width="11.6719" style="70" customWidth="1"/>
    <col min="11" max="11" width="11.6719" style="70" customWidth="1"/>
    <col min="12" max="12" width="11.6719" style="70" customWidth="1"/>
    <col min="13" max="13" width="11.6719" style="70" customWidth="1"/>
    <col min="14" max="14" width="11.6719" style="70" customWidth="1"/>
    <col min="15" max="15" width="11.6719" style="70" customWidth="1"/>
    <col min="16" max="16" width="11.6719" style="70" customWidth="1"/>
    <col min="17" max="17" width="11.6719" style="70" customWidth="1"/>
    <col min="18" max="18" width="11.6719" style="70" customWidth="1"/>
    <col min="19" max="19" width="11.6719" style="70" customWidth="1"/>
    <col min="20" max="20" width="11.6719" style="70" customWidth="1"/>
    <col min="21" max="21" width="11.6719" style="70" customWidth="1"/>
    <col min="22" max="22" width="11.6719" style="70" customWidth="1"/>
    <col min="23" max="23" width="11.6719" style="70" customWidth="1"/>
    <col min="24" max="24" width="11.6719" style="70" customWidth="1"/>
    <col min="25" max="25" width="11.6719" style="70" customWidth="1"/>
    <col min="26" max="26" width="11.6719" style="70" customWidth="1"/>
    <col min="27" max="27" width="11.6719" style="70" customWidth="1"/>
    <col min="28" max="256" width="8.85156" style="70" customWidth="1"/>
  </cols>
  <sheetData>
    <row r="1" ht="21" customHeight="1">
      <c r="A1" t="s" s="45">
        <v>58</v>
      </c>
      <c r="B1" s="46"/>
      <c r="C1" s="6"/>
      <c r="D1" t="s" s="47">
        <v>23</v>
      </c>
      <c r="E1" t="s" s="47">
        <v>23</v>
      </c>
      <c r="F1" t="s" s="47">
        <v>23</v>
      </c>
      <c r="G1" t="s" s="47">
        <v>23</v>
      </c>
      <c r="H1" t="s" s="47">
        <v>23</v>
      </c>
      <c r="I1" t="s" s="47">
        <v>23</v>
      </c>
      <c r="J1" t="s" s="47">
        <v>23</v>
      </c>
      <c r="K1" t="s" s="47">
        <v>23</v>
      </c>
      <c r="L1" t="s" s="47">
        <v>23</v>
      </c>
      <c r="M1" t="s" s="47">
        <v>23</v>
      </c>
      <c r="N1" t="s" s="47">
        <v>23</v>
      </c>
      <c r="O1" t="s" s="47">
        <v>23</v>
      </c>
      <c r="P1" t="s" s="47">
        <v>23</v>
      </c>
      <c r="Q1" t="s" s="47">
        <v>23</v>
      </c>
      <c r="R1" t="s" s="47">
        <v>23</v>
      </c>
      <c r="S1" t="s" s="47">
        <v>23</v>
      </c>
      <c r="T1" t="s" s="47">
        <v>23</v>
      </c>
      <c r="U1" t="s" s="47">
        <v>23</v>
      </c>
      <c r="V1" t="s" s="47">
        <v>23</v>
      </c>
      <c r="W1" t="s" s="47">
        <v>23</v>
      </c>
      <c r="X1" t="s" s="47">
        <v>23</v>
      </c>
      <c r="Y1" t="s" s="47">
        <v>23</v>
      </c>
      <c r="Z1" t="s" s="47">
        <v>23</v>
      </c>
      <c r="AA1" s="6"/>
    </row>
    <row r="2" ht="15" customHeight="1">
      <c r="A2" s="6"/>
      <c r="B2" s="6"/>
      <c r="C2" s="6"/>
      <c r="D2" s="48">
        <v>0</v>
      </c>
      <c r="E2" s="48">
        <v>1</v>
      </c>
      <c r="F2" s="48">
        <v>2</v>
      </c>
      <c r="G2" s="48">
        <v>3</v>
      </c>
      <c r="H2" s="48">
        <v>4</v>
      </c>
      <c r="I2" s="48">
        <v>5</v>
      </c>
      <c r="J2" s="48">
        <v>6</v>
      </c>
      <c r="K2" s="48">
        <v>7</v>
      </c>
      <c r="L2" s="48">
        <v>8</v>
      </c>
      <c r="M2" s="48">
        <v>9</v>
      </c>
      <c r="N2" s="48">
        <v>10</v>
      </c>
      <c r="O2" s="48">
        <v>11</v>
      </c>
      <c r="P2" s="48">
        <v>12</v>
      </c>
      <c r="Q2" s="48">
        <v>13</v>
      </c>
      <c r="R2" s="48">
        <v>14</v>
      </c>
      <c r="S2" s="48">
        <v>15</v>
      </c>
      <c r="T2" s="48">
        <v>16</v>
      </c>
      <c r="U2" s="48">
        <v>17</v>
      </c>
      <c r="V2" s="48">
        <v>18</v>
      </c>
      <c r="W2" s="48">
        <v>19</v>
      </c>
      <c r="X2" s="48">
        <v>20</v>
      </c>
      <c r="Y2" s="48">
        <v>21</v>
      </c>
      <c r="Z2" s="48">
        <v>22</v>
      </c>
      <c r="AA2" s="6"/>
    </row>
    <row r="3" ht="15" customHeight="1">
      <c r="A3" t="s" s="22">
        <v>24</v>
      </c>
      <c r="B3" s="49"/>
      <c r="C3" s="6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6"/>
    </row>
    <row r="4" ht="15" customHeight="1">
      <c r="A4" t="s" s="22">
        <v>25</v>
      </c>
      <c r="B4" s="49"/>
      <c r="C4" s="6"/>
      <c r="D4" s="51">
        <v>0.015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6"/>
    </row>
    <row r="5" ht="15" customHeight="1">
      <c r="A5" t="s" s="15">
        <v>26</v>
      </c>
      <c r="B5" s="6"/>
      <c r="C5" s="6"/>
      <c r="D5" s="50"/>
      <c r="E5" s="50"/>
      <c r="F5" s="50"/>
      <c r="G5" s="50">
        <v>220000</v>
      </c>
      <c r="H5" s="50">
        <f>G5*(1+$D$4)</f>
        <v>223300</v>
      </c>
      <c r="I5" s="50">
        <f>H5*(1+$D$4)</f>
        <v>226649.4999999999</v>
      </c>
      <c r="J5" s="50">
        <f>I5*(1+$D$4)</f>
        <v>230049.2424999999</v>
      </c>
      <c r="K5" s="50">
        <f>J5*(1+$D$4)</f>
        <v>233499.9811374999</v>
      </c>
      <c r="L5" s="50">
        <f>K5*(1+$D$4)</f>
        <v>237002.4808545624</v>
      </c>
      <c r="M5" s="50">
        <f>L5*(1+$D$4)</f>
        <v>240557.5180673808</v>
      </c>
      <c r="N5" s="50">
        <f>M5*(1+$D$4)</f>
        <v>244165.8808383915</v>
      </c>
      <c r="O5" s="50">
        <f>N5*(1+$D$4)</f>
        <v>247828.3690509673</v>
      </c>
      <c r="P5" s="50">
        <f>O5*(1+$D$4)</f>
        <v>251545.7945867318</v>
      </c>
      <c r="Q5" s="50">
        <f>P5*(1+$D$4)</f>
        <v>255318.9815055328</v>
      </c>
      <c r="R5" s="50">
        <f>Q5*(1+$D$4)</f>
        <v>259148.7662281157</v>
      </c>
      <c r="S5" s="50">
        <f>R5*(1+$D$4)</f>
        <v>263035.9977215374</v>
      </c>
      <c r="T5" s="50">
        <f>S5*(1+$D$4)</f>
        <v>266981.5376873605</v>
      </c>
      <c r="U5" s="50">
        <f>T5*(1+$D$4)</f>
        <v>270986.2607526709</v>
      </c>
      <c r="V5" s="50">
        <f>U5*(1+$D$4)</f>
        <v>275051.0546639609</v>
      </c>
      <c r="W5" s="50">
        <f>V5*(1+$D$4)</f>
        <v>279176.8204839203</v>
      </c>
      <c r="X5" s="50">
        <f>W5*(1+$D$4)</f>
        <v>283364.4727911791</v>
      </c>
      <c r="Y5" s="50">
        <f>X5*(1+$D$4)</f>
        <v>287614.9398830468</v>
      </c>
      <c r="Z5" s="50">
        <f>Y5*(1+$D$4)</f>
        <v>291929.1639812925</v>
      </c>
      <c r="AA5" s="6"/>
    </row>
    <row r="6" ht="15" customHeight="1">
      <c r="A6" t="s" s="15">
        <v>27</v>
      </c>
      <c r="B6" s="6"/>
      <c r="C6" s="6"/>
      <c r="D6" s="50"/>
      <c r="E6" s="50"/>
      <c r="F6" s="50"/>
      <c r="G6" s="50">
        <v>11000</v>
      </c>
      <c r="H6" s="50">
        <v>11000</v>
      </c>
      <c r="I6" s="50">
        <v>11000</v>
      </c>
      <c r="J6" s="50">
        <v>11000</v>
      </c>
      <c r="K6" s="50">
        <v>11000</v>
      </c>
      <c r="L6" s="50">
        <v>11000</v>
      </c>
      <c r="M6" s="50">
        <v>11000</v>
      </c>
      <c r="N6" s="50">
        <v>11000</v>
      </c>
      <c r="O6" s="50">
        <v>11000</v>
      </c>
      <c r="P6" s="50">
        <v>11000</v>
      </c>
      <c r="Q6" s="50">
        <v>11000</v>
      </c>
      <c r="R6" s="50">
        <v>11000</v>
      </c>
      <c r="S6" s="50">
        <v>11000</v>
      </c>
      <c r="T6" s="50">
        <v>11000</v>
      </c>
      <c r="U6" s="50">
        <v>11000</v>
      </c>
      <c r="V6" s="50">
        <v>11000</v>
      </c>
      <c r="W6" s="50">
        <v>11000</v>
      </c>
      <c r="X6" s="50">
        <v>11000</v>
      </c>
      <c r="Y6" s="50">
        <v>11000</v>
      </c>
      <c r="Z6" s="50">
        <v>11000</v>
      </c>
      <c r="AA6" s="6"/>
    </row>
    <row r="7" ht="15" customHeight="1">
      <c r="A7" s="6"/>
      <c r="B7" s="6"/>
      <c r="C7" s="6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6"/>
    </row>
    <row r="8" ht="15" customHeight="1">
      <c r="A8" t="s" s="24">
        <v>28</v>
      </c>
      <c r="B8" s="52"/>
      <c r="C8" s="52"/>
      <c r="D8" s="53"/>
      <c r="E8" s="53"/>
      <c r="F8" s="53"/>
      <c r="G8" s="53">
        <f>G5*G6/1000</f>
        <v>2420000</v>
      </c>
      <c r="H8" s="53">
        <f>H5*H6/1000</f>
        <v>2456300</v>
      </c>
      <c r="I8" s="53">
        <f>I5*I6/1000</f>
        <v>2493144.5</v>
      </c>
      <c r="J8" s="53">
        <f>J5*J6/1000</f>
        <v>2530541.667499999</v>
      </c>
      <c r="K8" s="53">
        <f>K5*K6/1000</f>
        <v>2568499.792512499</v>
      </c>
      <c r="L8" s="53">
        <f>L5*L6/1000</f>
        <v>2607027.289400186</v>
      </c>
      <c r="M8" s="53">
        <f>M5*M6/1000</f>
        <v>2646132.698741189</v>
      </c>
      <c r="N8" s="53">
        <f>N5*N6/1000</f>
        <v>2685824.689222306</v>
      </c>
      <c r="O8" s="53">
        <f>O5*O6/1000</f>
        <v>2726112.059560641</v>
      </c>
      <c r="P8" s="53">
        <f>P5*P6/1000</f>
        <v>2767003.74045405</v>
      </c>
      <c r="Q8" s="53">
        <f>Q5*Q6/1000</f>
        <v>2808508.796560861</v>
      </c>
      <c r="R8" s="53">
        <f>R5*R6/1000</f>
        <v>2850636.428509273</v>
      </c>
      <c r="S8" s="53">
        <f>S5*S6/1000</f>
        <v>2893395.974936911</v>
      </c>
      <c r="T8" s="53">
        <f>T5*T6/1000</f>
        <v>2936796.914560966</v>
      </c>
      <c r="U8" s="53">
        <f>U5*U6/1000</f>
        <v>2980848.86827938</v>
      </c>
      <c r="V8" s="53">
        <f>V5*V6/1000</f>
        <v>3025561.60130357</v>
      </c>
      <c r="W8" s="53">
        <f>W5*W6/1000</f>
        <v>3070945.025323124</v>
      </c>
      <c r="X8" s="53">
        <f>X5*X6/1000</f>
        <v>3117009.20070297</v>
      </c>
      <c r="Y8" s="53">
        <f>Y5*Y6/1000</f>
        <v>3163764.338713515</v>
      </c>
      <c r="Z8" s="53">
        <f>Z5*Z6/1000</f>
        <v>3211220.803794217</v>
      </c>
      <c r="AA8" s="6"/>
    </row>
    <row r="9" ht="15" customHeight="1">
      <c r="A9" s="6"/>
      <c r="B9" s="6"/>
      <c r="C9" s="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6"/>
    </row>
    <row r="10" ht="15" customHeight="1">
      <c r="A10" t="s" s="15">
        <v>29</v>
      </c>
      <c r="B10" s="6"/>
      <c r="C10" s="6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6"/>
    </row>
    <row r="11" ht="15" customHeight="1">
      <c r="A11" t="s" s="15">
        <v>30</v>
      </c>
      <c r="B11" s="6"/>
      <c r="C11" s="6"/>
      <c r="D11" s="50"/>
      <c r="E11" s="50"/>
      <c r="F11" s="50"/>
      <c r="G11" s="50">
        <f>-G6*50</f>
        <v>-550000</v>
      </c>
      <c r="H11" s="50">
        <f>G11*(1+$D$4)</f>
        <v>-558250</v>
      </c>
      <c r="I11" s="50">
        <f>H11*(1+$D$4)</f>
        <v>-566623.75</v>
      </c>
      <c r="J11" s="50">
        <f>I11*(1+$D$4)</f>
        <v>-575123.10625</v>
      </c>
      <c r="K11" s="50">
        <f>J11*(1+$D$4)</f>
        <v>-583749.9528437499</v>
      </c>
      <c r="L11" s="50">
        <f>K11*(1+$D$4)</f>
        <v>-592506.2021364061</v>
      </c>
      <c r="M11" s="50">
        <f>L11*(1+$D$4)</f>
        <v>-601393.7951684521</v>
      </c>
      <c r="N11" s="50">
        <f>M11*(1+$D$4)</f>
        <v>-610414.7020959788</v>
      </c>
      <c r="O11" s="50">
        <f>N11*(1+$D$4)</f>
        <v>-619570.9226274184</v>
      </c>
      <c r="P11" s="50">
        <f>O11*(1+$D$4)</f>
        <v>-628864.4864668297</v>
      </c>
      <c r="Q11" s="50">
        <f>P11*(1+$D$4)</f>
        <v>-638297.4537638321</v>
      </c>
      <c r="R11" s="50">
        <f>Q11*(1+$D$4)</f>
        <v>-647871.9155702895</v>
      </c>
      <c r="S11" s="50">
        <f>R11*(1+$D$4)</f>
        <v>-657589.9943038437</v>
      </c>
      <c r="T11" s="50">
        <f>S11*(1+$D$4)</f>
        <v>-667453.8442184012</v>
      </c>
      <c r="U11" s="50">
        <f>T11*(1+$D$4)</f>
        <v>-677465.6518816772</v>
      </c>
      <c r="V11" s="50">
        <f>U11*(1+$D$4)</f>
        <v>-687627.6366599023</v>
      </c>
      <c r="W11" s="50">
        <f>V11*(1+$D$4)</f>
        <v>-697942.0512098008</v>
      </c>
      <c r="X11" s="50">
        <f>W11*(1+$D$4)</f>
        <v>-708411.1819779477</v>
      </c>
      <c r="Y11" s="50">
        <f>X11*(1+$D$4)</f>
        <v>-719037.3497076168</v>
      </c>
      <c r="Z11" s="50">
        <f>Y11*(1+$D$4)</f>
        <v>-729822.909953231</v>
      </c>
      <c r="AA11" s="6"/>
    </row>
    <row r="12" ht="15" customHeight="1">
      <c r="A12" t="s" s="15">
        <v>31</v>
      </c>
      <c r="B12" s="6"/>
      <c r="C12" s="6"/>
      <c r="D12" s="50"/>
      <c r="E12" s="50"/>
      <c r="F12" s="50"/>
      <c r="G12" s="50">
        <f>-G6*95</f>
        <v>-1045000</v>
      </c>
      <c r="H12" s="50">
        <f>G12*(1+$D$4)</f>
        <v>-1060675</v>
      </c>
      <c r="I12" s="50">
        <f>H12*(1+$D$4)</f>
        <v>-1076585.125</v>
      </c>
      <c r="J12" s="50">
        <f>I12*(1+$D$4)</f>
        <v>-1092733.901875</v>
      </c>
      <c r="K12" s="50">
        <f>J12*(1+$D$4)</f>
        <v>-1109124.910403125</v>
      </c>
      <c r="L12" s="50">
        <f>K12*(1+$D$4)</f>
        <v>-1125761.784059172</v>
      </c>
      <c r="M12" s="50">
        <f>L12*(1+$D$4)</f>
        <v>-1142648.210820059</v>
      </c>
      <c r="N12" s="50">
        <f>M12*(1+$D$4)</f>
        <v>-1159787.93398236</v>
      </c>
      <c r="O12" s="50">
        <f>N12*(1+$D$4)</f>
        <v>-1177184.752992095</v>
      </c>
      <c r="P12" s="50">
        <f>O12*(1+$D$4)</f>
        <v>-1194842.524286977</v>
      </c>
      <c r="Q12" s="50">
        <f>P12*(1+$D$4)</f>
        <v>-1212765.162151281</v>
      </c>
      <c r="R12" s="50">
        <f>Q12*(1+$D$4)</f>
        <v>-1230956.63958355</v>
      </c>
      <c r="S12" s="50">
        <f>R12*(1+$D$4)</f>
        <v>-1249420.989177304</v>
      </c>
      <c r="T12" s="50">
        <f>S12*(1+$D$4)</f>
        <v>-1268162.304014963</v>
      </c>
      <c r="U12" s="50">
        <f>T12*(1+$D$4)</f>
        <v>-1287184.738575188</v>
      </c>
      <c r="V12" s="50">
        <f>U12*(1+$D$4)</f>
        <v>-1306492.509653815</v>
      </c>
      <c r="W12" s="50">
        <f>V12*(1+$D$4)</f>
        <v>-1326089.897298622</v>
      </c>
      <c r="X12" s="50">
        <f>W12*(1+$D$4)</f>
        <v>-1345981.245758102</v>
      </c>
      <c r="Y12" s="50">
        <f>X12*(1+$D$4)</f>
        <v>-1366170.964444473</v>
      </c>
      <c r="Z12" s="50">
        <f>Y12*(1+$D$4)</f>
        <v>-1386663.52891114</v>
      </c>
      <c r="AA12" s="6"/>
    </row>
    <row r="13" ht="15" customHeight="1">
      <c r="A13" t="s" s="54">
        <v>59</v>
      </c>
      <c r="B13" s="55"/>
      <c r="C13" s="55"/>
      <c r="D13" s="50"/>
      <c r="E13" s="50"/>
      <c r="F13" s="50"/>
      <c r="G13" s="50">
        <f>-G6*18</f>
        <v>-198000</v>
      </c>
      <c r="H13" s="50">
        <f>G13*(1+$D$4)</f>
        <v>-200970</v>
      </c>
      <c r="I13" s="50">
        <f>H13*(1+$D$4)</f>
        <v>-203984.55</v>
      </c>
      <c r="J13" s="50">
        <f>I13*(1+$D$4)</f>
        <v>-207044.31825</v>
      </c>
      <c r="K13" s="50">
        <f>J13*(1+$D$4)</f>
        <v>-210149.9830237499</v>
      </c>
      <c r="L13" s="50">
        <f>K13*(1+$D$4)</f>
        <v>-213302.2327691062</v>
      </c>
      <c r="M13" s="50">
        <f>L13*(1+$D$4)</f>
        <v>-216501.7662606427</v>
      </c>
      <c r="N13" s="50">
        <f>M13*(1+$D$4)</f>
        <v>-219749.2927545524</v>
      </c>
      <c r="O13" s="50">
        <f>N13*(1+$D$4)</f>
        <v>-223045.5321458706</v>
      </c>
      <c r="P13" s="50">
        <f>O13*(1+$D$4)</f>
        <v>-226391.2151280587</v>
      </c>
      <c r="Q13" s="50">
        <f>P13*(1+$D$4)</f>
        <v>-229787.0833549795</v>
      </c>
      <c r="R13" s="50">
        <f>Q13*(1+$D$4)</f>
        <v>-233233.8896053042</v>
      </c>
      <c r="S13" s="50">
        <f>R13*(1+$D$4)</f>
        <v>-236732.3979493837</v>
      </c>
      <c r="T13" s="50">
        <f>S13*(1+$D$4)</f>
        <v>-240283.3839186245</v>
      </c>
      <c r="U13" s="50">
        <f>T13*(1+$D$4)</f>
        <v>-243887.6346774038</v>
      </c>
      <c r="V13" s="50">
        <f>U13*(1+$D$4)</f>
        <v>-247545.9491975649</v>
      </c>
      <c r="W13" s="50">
        <f>V13*(1+$D$4)</f>
        <v>-251259.1384355283</v>
      </c>
      <c r="X13" s="50">
        <f>W13*(1+$D$4)</f>
        <v>-255028.0255120612</v>
      </c>
      <c r="Y13" s="50">
        <f>X13*(1+$D$4)</f>
        <v>-258853.4458947421</v>
      </c>
      <c r="Z13" s="50">
        <f>Y13*(1+$D$4)</f>
        <v>-262736.2475831632</v>
      </c>
      <c r="AA13" s="6"/>
    </row>
    <row r="14" ht="15" customHeight="1">
      <c r="A14" t="s" s="24">
        <v>33</v>
      </c>
      <c r="B14" s="52"/>
      <c r="C14" s="52"/>
      <c r="D14" s="53"/>
      <c r="E14" s="53"/>
      <c r="F14" s="53"/>
      <c r="G14" s="53">
        <f>G8+SUM(G10:G13)</f>
        <v>627000</v>
      </c>
      <c r="H14" s="53">
        <f>H8+SUM(H10:H13)</f>
        <v>636404.9999999995</v>
      </c>
      <c r="I14" s="53">
        <f>I8+SUM(I10:I13)</f>
        <v>645951.0749999995</v>
      </c>
      <c r="J14" s="53">
        <f>J8+SUM(J10:J13)</f>
        <v>655640.3411249991</v>
      </c>
      <c r="K14" s="53">
        <f>K8+SUM(K10:K13)</f>
        <v>665474.946241874</v>
      </c>
      <c r="L14" s="53">
        <f>L8+SUM(L10:L13)</f>
        <v>675457.0704355021</v>
      </c>
      <c r="M14" s="53">
        <f>M8+SUM(M10:M13)</f>
        <v>685588.9264920347</v>
      </c>
      <c r="N14" s="53">
        <f>N8+SUM(N10:N13)</f>
        <v>695872.7603894151</v>
      </c>
      <c r="O14" s="53">
        <f>O8+SUM(O10:O13)</f>
        <v>706310.8517952564</v>
      </c>
      <c r="P14" s="53">
        <f>P8+SUM(P10:P13)</f>
        <v>716905.5145721852</v>
      </c>
      <c r="Q14" s="53">
        <f>Q8+SUM(Q10:Q13)</f>
        <v>727659.0972907678</v>
      </c>
      <c r="R14" s="53">
        <f>R8+SUM(R10:R13)</f>
        <v>738573.9837501291</v>
      </c>
      <c r="S14" s="53">
        <f>S8+SUM(S10:S13)</f>
        <v>749652.5935063804</v>
      </c>
      <c r="T14" s="53">
        <f>T8+SUM(T10:T13)</f>
        <v>760897.382408977</v>
      </c>
      <c r="U14" s="53">
        <f>U8+SUM(U10:U13)</f>
        <v>772310.8431451116</v>
      </c>
      <c r="V14" s="53">
        <f>V8+SUM(V10:V13)</f>
        <v>783895.5057922881</v>
      </c>
      <c r="W14" s="53">
        <f>W8+SUM(W10:W13)</f>
        <v>795653.9383791727</v>
      </c>
      <c r="X14" s="53">
        <f>X8+SUM(X10:X13)</f>
        <v>807588.7474548598</v>
      </c>
      <c r="Y14" s="53">
        <f>Y8+SUM(Y10:Y13)</f>
        <v>819702.5786666828</v>
      </c>
      <c r="Z14" s="53">
        <f>Z8+SUM(Z10:Z13)</f>
        <v>831998.1173466835</v>
      </c>
      <c r="AA14" s="6"/>
    </row>
    <row r="15" ht="15" customHeight="1">
      <c r="A15" s="52"/>
      <c r="B15" s="5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6"/>
    </row>
    <row r="16" ht="15" customHeight="1">
      <c r="A16" t="s" s="15">
        <v>34</v>
      </c>
      <c r="B16" s="6"/>
      <c r="C16" s="6"/>
      <c r="D16" s="50"/>
      <c r="E16" s="6"/>
      <c r="F16" s="50">
        <v>-100000</v>
      </c>
      <c r="G16" s="50">
        <v>-100000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6"/>
    </row>
    <row r="17" ht="15" customHeight="1">
      <c r="A17" t="s" s="15">
        <v>35</v>
      </c>
      <c r="B17" s="6"/>
      <c r="C17" s="6"/>
      <c r="D17" s="50"/>
      <c r="E17" s="50"/>
      <c r="F17" s="50"/>
      <c r="G17" s="50">
        <v>-12500</v>
      </c>
      <c r="H17" s="50">
        <f>G17*(1+$D$4)</f>
        <v>-12687.5</v>
      </c>
      <c r="I17" s="50">
        <f>H17*(1+$D$4)</f>
        <v>-12877.8125</v>
      </c>
      <c r="J17" s="50">
        <f>I17*(1+$D$4)</f>
        <v>-13070.9796875</v>
      </c>
      <c r="K17" s="50">
        <f>J17*(1+$D$4)</f>
        <v>-13267.044382812493</v>
      </c>
      <c r="L17" s="50">
        <f>K17*(1+$D$4)</f>
        <v>-13466.050048554680</v>
      </c>
      <c r="M17" s="50">
        <f>L17*(1+$D$4)</f>
        <v>-13668.040799283</v>
      </c>
      <c r="N17" s="50">
        <f>M17*(1+$D$4)</f>
        <v>-13873.061411272241</v>
      </c>
      <c r="O17" s="50">
        <f>N17*(1+$D$4)</f>
        <v>-14081.157332441324</v>
      </c>
      <c r="P17" s="50">
        <f>O17*(1+$D$4)</f>
        <v>-14292.374692427942</v>
      </c>
      <c r="Q17" s="50">
        <f>P17*(1+$D$4)</f>
        <v>-14506.760312814360</v>
      </c>
      <c r="R17" s="50">
        <f>Q17*(1+$D$4)</f>
        <v>-14724.361717506574</v>
      </c>
      <c r="S17" s="50">
        <f>R17*(1+$D$4)</f>
        <v>-14945.227143269170</v>
      </c>
      <c r="T17" s="50">
        <f>S17*(1+$D$4)</f>
        <v>-15169.405550418207</v>
      </c>
      <c r="U17" s="50">
        <f>T17*(1+$D$4)</f>
        <v>-15396.946633674479</v>
      </c>
      <c r="V17" s="50">
        <f>U17*(1+$D$4)</f>
        <v>-15627.900833179594</v>
      </c>
      <c r="W17" s="50">
        <f>V17*(1+$D$4)</f>
        <v>-15862.319345677286</v>
      </c>
      <c r="X17" s="50">
        <f>W17*(1+$D$4)</f>
        <v>-16100.254135862444</v>
      </c>
      <c r="Y17" s="50">
        <f>X17*(1+$D$4)</f>
        <v>-16341.757947900380</v>
      </c>
      <c r="Z17" s="50">
        <f>Y17*(1+$D$4)</f>
        <v>-16586.884317118886</v>
      </c>
      <c r="AA17" s="50">
        <f>SUM(G17:Z17)</f>
        <v>-289045.8387917131</v>
      </c>
    </row>
    <row r="18" ht="15" customHeight="1">
      <c r="A18" t="s" s="15">
        <v>36</v>
      </c>
      <c r="B18" s="56"/>
      <c r="C18" s="6"/>
      <c r="D18" s="50"/>
      <c r="E18" s="50"/>
      <c r="F18" s="50"/>
      <c r="G18" s="50">
        <f>-G6*'Warranty Costs'!$E$4/1000</f>
        <v>-43359.210651677371</v>
      </c>
      <c r="H18" s="50">
        <f>G18*(1+$D$4)</f>
        <v>-44009.598811452524</v>
      </c>
      <c r="I18" s="50">
        <f>H18*(1+$D$4)</f>
        <v>-44669.742793624311</v>
      </c>
      <c r="J18" s="50">
        <f>I18*(1+$D$4)</f>
        <v>-45339.788935528668</v>
      </c>
      <c r="K18" s="50">
        <f>J18*(1+$D$4)</f>
        <v>-46019.8857695616</v>
      </c>
      <c r="L18" s="50">
        <f>K18*(1+$D$4)</f>
        <v>-46710.184056105012</v>
      </c>
      <c r="M18" s="50">
        <f>L18*(1+$D$4)</f>
        <v>-47410.836816946583</v>
      </c>
      <c r="N18" s="50">
        <f>M18*(1+$D$4)</f>
        <v>-48121.999369200777</v>
      </c>
      <c r="O18" s="50">
        <f>N18*(1+$D$4)</f>
        <v>-48843.829359738782</v>
      </c>
      <c r="P18" s="50">
        <f>O18*(1+$D$4)</f>
        <v>-49576.486800134859</v>
      </c>
      <c r="Q18" s="50">
        <f>P18*(1+$D$4)</f>
        <v>-50320.134102136879</v>
      </c>
      <c r="R18" s="50">
        <f>Q18*(1+$D$4)</f>
        <v>-51074.936113668926</v>
      </c>
      <c r="S18" s="50">
        <f>R18*(1+$D$4)</f>
        <v>-51841.060155373954</v>
      </c>
      <c r="T18" s="50">
        <f>S18*(1+$D$4)</f>
        <v>-52618.676057704557</v>
      </c>
      <c r="U18" s="50">
        <f>T18*(1+$D$4)</f>
        <v>-53407.956198570122</v>
      </c>
      <c r="V18" s="50">
        <f>U18*(1+$D$4)</f>
        <v>-54209.075541548671</v>
      </c>
      <c r="W18" s="50">
        <f>V18*(1+$D$4)</f>
        <v>-55022.2116746719</v>
      </c>
      <c r="X18" s="50">
        <f>W18*(1+$D$4)</f>
        <v>-55847.544849791972</v>
      </c>
      <c r="Y18" s="50">
        <f>X18*(1+$D$4)</f>
        <v>-56685.258022538845</v>
      </c>
      <c r="Z18" s="50">
        <f>Y18*(1+$D$4)</f>
        <v>-57535.536892876924</v>
      </c>
      <c r="AA18" s="6"/>
    </row>
    <row r="19" ht="15" customHeight="1">
      <c r="A19" t="s" s="15">
        <v>60</v>
      </c>
      <c r="B19" s="56"/>
      <c r="C19" s="6"/>
      <c r="D19" s="50"/>
      <c r="E19" s="50"/>
      <c r="F19" s="50"/>
      <c r="G19" s="50">
        <f>-G6*'Warranty Costs'!$E$6/1000</f>
        <v>-65038.815977516053</v>
      </c>
      <c r="H19" s="50">
        <f>G19*(1+$D$4)</f>
        <v>-66014.398217178794</v>
      </c>
      <c r="I19" s="50">
        <f>H19*(1+$D$4)</f>
        <v>-67004.614190436463</v>
      </c>
      <c r="J19" s="50">
        <f>I19*(1+$D$4)</f>
        <v>-68009.683403293006</v>
      </c>
      <c r="K19" s="50">
        <f>J19*(1+$D$4)</f>
        <v>-69029.828654342389</v>
      </c>
      <c r="L19" s="50">
        <f>K19*(1+$D$4)</f>
        <v>-70065.276084157522</v>
      </c>
      <c r="M19" s="50">
        <f>L19*(1+$D$4)</f>
        <v>-71116.255225419882</v>
      </c>
      <c r="N19" s="50">
        <f>M19*(1+$D$4)</f>
        <v>-72182.999053801177</v>
      </c>
      <c r="O19" s="50">
        <f>N19*(1+$D$4)</f>
        <v>-73265.744039608195</v>
      </c>
      <c r="P19" s="50">
        <f>O19*(1+$D$4)</f>
        <v>-74364.730200202306</v>
      </c>
      <c r="Q19" s="50">
        <f>P19*(1+$D$4)</f>
        <v>-75480.201153205329</v>
      </c>
      <c r="R19" s="50">
        <f>Q19*(1+$D$4)</f>
        <v>-76612.4041705034</v>
      </c>
      <c r="S19" s="50">
        <f>R19*(1+$D$4)</f>
        <v>-77761.590233060953</v>
      </c>
      <c r="T19" s="50">
        <f>S19*(1+$D$4)</f>
        <v>-78928.014086556854</v>
      </c>
      <c r="U19" s="50">
        <f>T19*(1+$D$4)</f>
        <v>-80111.9342978552</v>
      </c>
      <c r="V19" s="50">
        <f>U19*(1+$D$4)</f>
        <v>-81313.613312323025</v>
      </c>
      <c r="W19" s="50">
        <f>V19*(1+$D$4)</f>
        <v>-82533.317512007867</v>
      </c>
      <c r="X19" s="50">
        <f>W19*(1+$D$4)</f>
        <v>-83771.317274687972</v>
      </c>
      <c r="Y19" s="50">
        <f>X19*(1+$D$4)</f>
        <v>-85027.887033808278</v>
      </c>
      <c r="Z19" s="50">
        <f>Y19*(1+$D$4)</f>
        <v>-86303.3053393154</v>
      </c>
      <c r="AA19" s="6"/>
    </row>
    <row r="20" ht="15" customHeight="1">
      <c r="A20" t="s" s="54">
        <v>38</v>
      </c>
      <c r="B20" s="55"/>
      <c r="C20" s="55"/>
      <c r="D20" s="50"/>
      <c r="E20" s="50"/>
      <c r="F20" s="50"/>
      <c r="G20" s="57">
        <f t="shared" si="179" ref="G20:Z20">($D$30+$E$30+$F$30)/20</f>
        <v>-50000</v>
      </c>
      <c r="H20" s="57">
        <f t="shared" si="179"/>
        <v>-50000</v>
      </c>
      <c r="I20" s="57">
        <f t="shared" si="179"/>
        <v>-50000</v>
      </c>
      <c r="J20" s="57">
        <f t="shared" si="179"/>
        <v>-50000</v>
      </c>
      <c r="K20" s="57">
        <f t="shared" si="179"/>
        <v>-50000</v>
      </c>
      <c r="L20" s="57">
        <f t="shared" si="179"/>
        <v>-50000</v>
      </c>
      <c r="M20" s="57">
        <f t="shared" si="179"/>
        <v>-50000</v>
      </c>
      <c r="N20" s="57">
        <f t="shared" si="179"/>
        <v>-50000</v>
      </c>
      <c r="O20" s="57">
        <f t="shared" si="179"/>
        <v>-50000</v>
      </c>
      <c r="P20" s="57">
        <f t="shared" si="179"/>
        <v>-50000</v>
      </c>
      <c r="Q20" s="57">
        <f t="shared" si="179"/>
        <v>-50000</v>
      </c>
      <c r="R20" s="57">
        <f t="shared" si="179"/>
        <v>-50000</v>
      </c>
      <c r="S20" s="57">
        <f t="shared" si="179"/>
        <v>-50000</v>
      </c>
      <c r="T20" s="57">
        <f t="shared" si="179"/>
        <v>-50000</v>
      </c>
      <c r="U20" s="57">
        <f t="shared" si="179"/>
        <v>-50000</v>
      </c>
      <c r="V20" s="57">
        <f t="shared" si="179"/>
        <v>-50000</v>
      </c>
      <c r="W20" s="57">
        <f t="shared" si="179"/>
        <v>-50000</v>
      </c>
      <c r="X20" s="57">
        <f t="shared" si="179"/>
        <v>-50000</v>
      </c>
      <c r="Y20" s="57">
        <f t="shared" si="179"/>
        <v>-50000</v>
      </c>
      <c r="Z20" s="57">
        <f t="shared" si="179"/>
        <v>-50000</v>
      </c>
      <c r="AA20" s="50">
        <f>SUM(G20:Z20)</f>
        <v>-1000000</v>
      </c>
    </row>
    <row r="21" ht="15" customHeight="1">
      <c r="A21" t="s" s="24">
        <v>39</v>
      </c>
      <c r="B21" s="52"/>
      <c r="C21" s="52"/>
      <c r="D21" s="53"/>
      <c r="E21" s="53"/>
      <c r="F21" s="53"/>
      <c r="G21" s="58">
        <f>G14+SUM(G16:G20)</f>
        <v>356101.9733708065</v>
      </c>
      <c r="H21" s="58">
        <f>H14+SUM(H16:H20)</f>
        <v>463693.5029713682</v>
      </c>
      <c r="I21" s="58">
        <f>I14+SUM(I16:I20)</f>
        <v>471398.9055159387</v>
      </c>
      <c r="J21" s="58">
        <f>J14+SUM(J16:J20)</f>
        <v>479219.8890986774</v>
      </c>
      <c r="K21" s="58">
        <f>K14+SUM(K16:K20)</f>
        <v>487158.1874351575</v>
      </c>
      <c r="L21" s="58">
        <f>L14+SUM(L16:L20)</f>
        <v>495215.5602466849</v>
      </c>
      <c r="M21" s="58">
        <f>M14+SUM(M16:M20)</f>
        <v>503393.7936503852</v>
      </c>
      <c r="N21" s="58">
        <f>N14+SUM(N16:N20)</f>
        <v>511694.7005551409</v>
      </c>
      <c r="O21" s="58">
        <f>O14+SUM(O16:O20)</f>
        <v>520120.121063468</v>
      </c>
      <c r="P21" s="58">
        <f>P14+SUM(P16:P20)</f>
        <v>528671.9228794201</v>
      </c>
      <c r="Q21" s="58">
        <f>Q14+SUM(Q16:Q20)</f>
        <v>537352.0017226113</v>
      </c>
      <c r="R21" s="58">
        <f>R14+SUM(R16:R20)</f>
        <v>546162.2817484502</v>
      </c>
      <c r="S21" s="58">
        <f>S14+SUM(S16:S20)</f>
        <v>555104.7159746764</v>
      </c>
      <c r="T21" s="58">
        <f>T14+SUM(T16:T20)</f>
        <v>564181.2867142974</v>
      </c>
      <c r="U21" s="58">
        <f>U14+SUM(U16:U20)</f>
        <v>573394.0060150118</v>
      </c>
      <c r="V21" s="58">
        <f>V14+SUM(V16:V20)</f>
        <v>582744.9161052369</v>
      </c>
      <c r="W21" s="58">
        <f>W14+SUM(W16:W20)</f>
        <v>592236.0898468157</v>
      </c>
      <c r="X21" s="58">
        <f>X14+SUM(X16:X20)</f>
        <v>601869.6311945174</v>
      </c>
      <c r="Y21" s="58">
        <f>Y14+SUM(Y16:Y20)</f>
        <v>611647.6756624354</v>
      </c>
      <c r="Z21" s="58">
        <f>Z14+SUM(Z16:Z20)</f>
        <v>621572.3907973723</v>
      </c>
      <c r="AA21" s="6"/>
    </row>
    <row r="22" ht="14.65" customHeight="1">
      <c r="A22" s="6"/>
      <c r="B22" s="59"/>
      <c r="C22" s="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6"/>
    </row>
    <row r="23" ht="14.65" customHeight="1">
      <c r="A23" t="s" s="60">
        <v>40</v>
      </c>
      <c r="B23" s="61">
        <v>0.4</v>
      </c>
      <c r="C23" s="5"/>
      <c r="D23" s="50"/>
      <c r="E23" s="50"/>
      <c r="F23" s="50"/>
      <c r="G23" s="50">
        <f>-G21*$B$23</f>
        <v>-142440.7893483226</v>
      </c>
      <c r="H23" s="50">
        <f>-H21*$B$23</f>
        <v>-185477.4011885473</v>
      </c>
      <c r="I23" s="50">
        <f>-I21*$B$23</f>
        <v>-188559.5622063755</v>
      </c>
      <c r="J23" s="50">
        <f>-J21*$B$23</f>
        <v>-191687.955639471</v>
      </c>
      <c r="K23" s="50">
        <f>-K21*$B$23</f>
        <v>-194863.274974063</v>
      </c>
      <c r="L23" s="50">
        <f>-L21*$B$23</f>
        <v>-198086.224098674</v>
      </c>
      <c r="M23" s="50">
        <f>-M21*$B$23</f>
        <v>-201357.5174601541</v>
      </c>
      <c r="N23" s="50">
        <f>-N21*$B$23</f>
        <v>-204677.8802220564</v>
      </c>
      <c r="O23" s="50">
        <f>-O21*$B$23</f>
        <v>-208048.0484253872</v>
      </c>
      <c r="P23" s="50">
        <f>-P21*$B$23</f>
        <v>-211468.7691517681</v>
      </c>
      <c r="Q23" s="50">
        <f>-Q21*$B$23</f>
        <v>-214940.8006890445</v>
      </c>
      <c r="R23" s="50">
        <f>-R21*$B$23</f>
        <v>-218464.9126993801</v>
      </c>
      <c r="S23" s="50">
        <f>-S21*$B$23</f>
        <v>-222041.8863898706</v>
      </c>
      <c r="T23" s="50">
        <f>-T21*$B$23</f>
        <v>-225672.514685719</v>
      </c>
      <c r="U23" s="50">
        <f>-U21*$B$23</f>
        <v>-229357.6024060047</v>
      </c>
      <c r="V23" s="50">
        <f>-V21*$B$23</f>
        <v>-233097.9664420948</v>
      </c>
      <c r="W23" s="50">
        <f>-W21*$B$23</f>
        <v>-236894.4359387263</v>
      </c>
      <c r="X23" s="50">
        <f>-X21*$B$23</f>
        <v>-240747.852477807</v>
      </c>
      <c r="Y23" s="50">
        <f>-Y21*$B$23</f>
        <v>-244659.0702649741</v>
      </c>
      <c r="Z23" s="50">
        <f>-Z21*$B$23</f>
        <v>-248628.9563189489</v>
      </c>
      <c r="AA23" s="6"/>
    </row>
    <row r="24" ht="15.5" customHeight="1">
      <c r="A24" t="s" s="24">
        <v>41</v>
      </c>
      <c r="B24" s="62"/>
      <c r="C24" s="6"/>
      <c r="D24" s="50"/>
      <c r="E24" s="50"/>
      <c r="F24" s="50"/>
      <c r="G24" s="53">
        <f>G21+G23</f>
        <v>213661.1840224839</v>
      </c>
      <c r="H24" s="53">
        <f>H21+H23</f>
        <v>278216.1017828209</v>
      </c>
      <c r="I24" s="53">
        <f>I21+I23</f>
        <v>282839.3433095632</v>
      </c>
      <c r="J24" s="53">
        <f>J21+J23</f>
        <v>287531.9334592065</v>
      </c>
      <c r="K24" s="53">
        <f>K21+K23</f>
        <v>292294.9124610945</v>
      </c>
      <c r="L24" s="53">
        <f>L21+L23</f>
        <v>297129.3361480109</v>
      </c>
      <c r="M24" s="53">
        <f>M21+M23</f>
        <v>302036.2761902311</v>
      </c>
      <c r="N24" s="53">
        <f>N21+N23</f>
        <v>307016.8203330845</v>
      </c>
      <c r="O24" s="53">
        <f>O21+O23</f>
        <v>312072.0726380808</v>
      </c>
      <c r="P24" s="53">
        <f>P21+P23</f>
        <v>317203.153727652</v>
      </c>
      <c r="Q24" s="53">
        <f>Q21+Q23</f>
        <v>322411.2010335667</v>
      </c>
      <c r="R24" s="53">
        <f>R21+R23</f>
        <v>327697.3690490702</v>
      </c>
      <c r="S24" s="53">
        <f>S21+S23</f>
        <v>333062.8295848059</v>
      </c>
      <c r="T24" s="53">
        <f>T21+T23</f>
        <v>338508.7720285784</v>
      </c>
      <c r="U24" s="53">
        <f>U21+U23</f>
        <v>344036.4036090071</v>
      </c>
      <c r="V24" s="53">
        <f>V21+V23</f>
        <v>349646.9496631421</v>
      </c>
      <c r="W24" s="53">
        <f>W21+W23</f>
        <v>355341.6539080894</v>
      </c>
      <c r="X24" s="53">
        <f>X21+X23</f>
        <v>361121.7787167104</v>
      </c>
      <c r="Y24" s="53">
        <f>Y21+Y23</f>
        <v>366988.6053974612</v>
      </c>
      <c r="Z24" s="53">
        <f>Z21+Z23</f>
        <v>372943.4344784234</v>
      </c>
      <c r="AA24" s="6"/>
    </row>
    <row r="25" ht="15" customHeight="1">
      <c r="A25" s="6"/>
      <c r="B25" s="6"/>
      <c r="C25" s="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6"/>
    </row>
    <row r="26" ht="15" customHeight="1">
      <c r="A26" t="s" s="24">
        <v>42</v>
      </c>
      <c r="B26" s="52"/>
      <c r="C26" s="6"/>
      <c r="D26" s="50"/>
      <c r="E26" s="53"/>
      <c r="F26" s="53">
        <v>-100000</v>
      </c>
      <c r="G26" s="53">
        <f>G24-G20</f>
        <v>263661.1840224839</v>
      </c>
      <c r="H26" s="53">
        <f>H24-H20</f>
        <v>328216.1017828209</v>
      </c>
      <c r="I26" s="53">
        <f>I24-I20</f>
        <v>332839.3433095632</v>
      </c>
      <c r="J26" s="53">
        <f>J24-J20</f>
        <v>337531.9334592065</v>
      </c>
      <c r="K26" s="53">
        <f>K24-K20</f>
        <v>342294.9124610945</v>
      </c>
      <c r="L26" s="53">
        <f>L24-L20</f>
        <v>347129.3361480109</v>
      </c>
      <c r="M26" s="53">
        <f>M24-M20</f>
        <v>352036.2761902311</v>
      </c>
      <c r="N26" s="53">
        <f>N24-N20</f>
        <v>357016.8203330845</v>
      </c>
      <c r="O26" s="53">
        <f>O24-O20</f>
        <v>362072.0726380808</v>
      </c>
      <c r="P26" s="53">
        <f>P24-P20</f>
        <v>367203.153727652</v>
      </c>
      <c r="Q26" s="53">
        <f>Q24-Q20</f>
        <v>372411.2010335667</v>
      </c>
      <c r="R26" s="53">
        <f>R24-R20</f>
        <v>377697.3690490702</v>
      </c>
      <c r="S26" s="53">
        <f>S24-S20</f>
        <v>383062.8295848059</v>
      </c>
      <c r="T26" s="53">
        <f>T24-T20</f>
        <v>388508.7720285784</v>
      </c>
      <c r="U26" s="53">
        <f>U24-U20</f>
        <v>394036.4036090071</v>
      </c>
      <c r="V26" s="53">
        <f>V24-V20</f>
        <v>399646.9496631421</v>
      </c>
      <c r="W26" s="53">
        <f>W24-W20</f>
        <v>405341.6539080894</v>
      </c>
      <c r="X26" s="53">
        <f>X24-X20</f>
        <v>411121.7787167104</v>
      </c>
      <c r="Y26" s="53">
        <f>Y24-Y20</f>
        <v>416988.6053974612</v>
      </c>
      <c r="Z26" s="53">
        <f>Z24-Z20</f>
        <v>422943.4344784234</v>
      </c>
      <c r="AA26" s="6"/>
    </row>
    <row r="27" ht="15" customHeight="1">
      <c r="A27" s="6"/>
      <c r="B27" s="6"/>
      <c r="C27" s="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6"/>
    </row>
    <row r="28" ht="15" customHeight="1">
      <c r="A28" t="s" s="22">
        <v>43</v>
      </c>
      <c r="B28" s="49"/>
      <c r="C28" s="6"/>
      <c r="D28" s="6"/>
      <c r="E28" s="6"/>
      <c r="F28" s="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6"/>
    </row>
    <row r="29" ht="15" customHeight="1">
      <c r="A29" t="s" s="15">
        <v>44</v>
      </c>
      <c r="B29" s="6"/>
      <c r="C29" s="6"/>
      <c r="D29" s="50">
        <v>-6000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6"/>
    </row>
    <row r="30" ht="15" customHeight="1">
      <c r="A30" t="s" s="15">
        <v>45</v>
      </c>
      <c r="B30" s="6"/>
      <c r="C30" s="6"/>
      <c r="D30" s="50">
        <v>-400000</v>
      </c>
      <c r="E30" s="50">
        <v>-500000</v>
      </c>
      <c r="F30" s="50">
        <v>-100000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>
        <f>SUM(D30:Z30)</f>
        <v>-1000000</v>
      </c>
    </row>
    <row r="31" ht="15" customHeight="1">
      <c r="A31" t="s" s="15">
        <v>46</v>
      </c>
      <c r="B31" s="6"/>
      <c r="C31" s="6"/>
      <c r="D31" s="50"/>
      <c r="E31" s="50"/>
      <c r="F31" s="50">
        <f>-G8*0.1</f>
        <v>-242000</v>
      </c>
      <c r="G31" s="50">
        <f>-H8*0.1</f>
        <v>-245630</v>
      </c>
      <c r="H31" s="50">
        <f>-I8*0.1</f>
        <v>-249314.45</v>
      </c>
      <c r="I31" s="50">
        <f>-J8*0.1</f>
        <v>-253054.1667499999</v>
      </c>
      <c r="J31" s="50">
        <f>-K8*0.1</f>
        <v>-256849.9792512499</v>
      </c>
      <c r="K31" s="50">
        <f>-L8*0.1</f>
        <v>-260702.7289400186</v>
      </c>
      <c r="L31" s="50">
        <f>-M8*0.1</f>
        <v>-264613.2698741189</v>
      </c>
      <c r="M31" s="50">
        <f>-N8*0.1</f>
        <v>-268582.4689222306</v>
      </c>
      <c r="N31" s="50">
        <f>-O8*0.1</f>
        <v>-272611.2059560641</v>
      </c>
      <c r="O31" s="50">
        <f>-P8*0.1</f>
        <v>-276700.374045405</v>
      </c>
      <c r="P31" s="50">
        <f>-Q8*0.1</f>
        <v>-280850.8796560861</v>
      </c>
      <c r="Q31" s="50">
        <f>-R8*0.1</f>
        <v>-285063.6428509273</v>
      </c>
      <c r="R31" s="50">
        <f>-S8*0.1</f>
        <v>-289339.5974936911</v>
      </c>
      <c r="S31" s="50">
        <f>-T8*0.1</f>
        <v>-293679.6914560966</v>
      </c>
      <c r="T31" s="50">
        <f>-U8*0.1</f>
        <v>-298084.886827938</v>
      </c>
      <c r="U31" s="50">
        <f>-V8*0.1</f>
        <v>-302556.1601303571</v>
      </c>
      <c r="V31" s="50">
        <f>-W8*0.1</f>
        <v>-307094.5025323124</v>
      </c>
      <c r="W31" s="50">
        <f>-X8*0.1</f>
        <v>-311700.920070297</v>
      </c>
      <c r="X31" s="50">
        <f>-Y8*0.1</f>
        <v>-316376.4338713515</v>
      </c>
      <c r="Y31" s="50">
        <f>-Z8*0.1</f>
        <v>-321122.0803794218</v>
      </c>
      <c r="Z31" s="50">
        <f>-SUM(F31:Y31)</f>
        <v>5595927.439007566</v>
      </c>
      <c r="AA31" s="6"/>
    </row>
    <row r="32" ht="15" customHeight="1">
      <c r="A32" s="6"/>
      <c r="B32" s="6"/>
      <c r="C32" s="6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6"/>
    </row>
    <row r="33" ht="15" customHeight="1">
      <c r="A33" t="s" s="22">
        <v>47</v>
      </c>
      <c r="B33" s="49"/>
      <c r="C33" s="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6"/>
    </row>
    <row r="34" ht="15" customHeight="1">
      <c r="A34" t="s" s="15">
        <v>44</v>
      </c>
      <c r="B34" s="6"/>
      <c r="C34" s="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>
        <f>FV(0.015,22,,-6000)</f>
        <v>8325.382194738171</v>
      </c>
      <c r="AA34" s="6"/>
    </row>
    <row r="35" ht="15" customHeight="1">
      <c r="A35" t="s" s="15">
        <v>48</v>
      </c>
      <c r="B35" s="6"/>
      <c r="C35" s="6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>
        <v>-3000</v>
      </c>
      <c r="AA35" s="6"/>
    </row>
    <row r="36" ht="15" customHeight="1">
      <c r="A36" t="s" s="15">
        <v>49</v>
      </c>
      <c r="B36" s="6"/>
      <c r="C36" s="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>
        <v>-300</v>
      </c>
      <c r="AA36" s="6"/>
    </row>
    <row r="37" ht="16.5" customHeight="1">
      <c r="A37" t="s" s="54">
        <v>50</v>
      </c>
      <c r="B37" s="55"/>
      <c r="C37" s="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63">
        <v>15000</v>
      </c>
      <c r="AA37" s="6"/>
    </row>
    <row r="38" ht="15" customHeight="1">
      <c r="A38" t="s" s="15">
        <v>51</v>
      </c>
      <c r="B38" s="6"/>
      <c r="C38" s="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>
        <f>SUM(Z34:Z37)</f>
        <v>20025.382194738173</v>
      </c>
      <c r="AA38" s="6"/>
    </row>
    <row r="39" ht="15" customHeight="1">
      <c r="A39" t="s" s="54">
        <v>52</v>
      </c>
      <c r="B39" s="55"/>
      <c r="C39" s="6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7">
        <f>-Z38*B23</f>
        <v>-8010.152877895270</v>
      </c>
      <c r="AA39" s="6"/>
    </row>
    <row r="40" ht="15" customHeight="1">
      <c r="A40" t="s" s="24">
        <v>53</v>
      </c>
      <c r="B40" s="52"/>
      <c r="C40" s="6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8">
        <f>Z38+Z39</f>
        <v>12015.2293168429</v>
      </c>
      <c r="AA40" s="6"/>
    </row>
    <row r="41" ht="15" customHeight="1">
      <c r="A41" s="6"/>
      <c r="B41" s="6"/>
      <c r="C41" s="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6"/>
    </row>
    <row r="42" ht="15" customHeight="1">
      <c r="A42" t="s" s="64">
        <v>54</v>
      </c>
      <c r="B42" s="65"/>
      <c r="C42" s="6"/>
      <c r="D42" s="53">
        <f>SUM(D26:D32)+D40</f>
        <v>-406000</v>
      </c>
      <c r="E42" s="53">
        <f>SUM(E26:E32)+E40</f>
        <v>-500000</v>
      </c>
      <c r="F42" s="53">
        <f>SUM(F26:F32)+F40</f>
        <v>-442000</v>
      </c>
      <c r="G42" s="53">
        <f>SUM(G26:G32)+G40</f>
        <v>18031.184022483911</v>
      </c>
      <c r="H42" s="53">
        <f>SUM(H26:H32)+H40</f>
        <v>78901.651782820933</v>
      </c>
      <c r="I42" s="53">
        <f>SUM(I26:I32)+I40</f>
        <v>79785.176559563319</v>
      </c>
      <c r="J42" s="53">
        <f>SUM(J26:J32)+J40</f>
        <v>80681.954207956587</v>
      </c>
      <c r="K42" s="53">
        <f>SUM(K26:K32)+K40</f>
        <v>81592.1835210759</v>
      </c>
      <c r="L42" s="53">
        <f>SUM(L26:L32)+L40</f>
        <v>82516.066273892007</v>
      </c>
      <c r="M42" s="53">
        <f>SUM(M26:M32)+M40</f>
        <v>83453.807268000441</v>
      </c>
      <c r="N42" s="53">
        <f>SUM(N26:N32)+N40</f>
        <v>84405.614377020393</v>
      </c>
      <c r="O42" s="53">
        <f>SUM(O26:O32)+O40</f>
        <v>85371.698592675792</v>
      </c>
      <c r="P42" s="53">
        <f>SUM(P26:P32)+P40</f>
        <v>86352.274071565946</v>
      </c>
      <c r="Q42" s="53">
        <f>SUM(Q26:Q32)+Q40</f>
        <v>87347.558182639419</v>
      </c>
      <c r="R42" s="53">
        <f>SUM(R26:R32)+R40</f>
        <v>88357.771555379033</v>
      </c>
      <c r="S42" s="53">
        <f>SUM(S26:S32)+S40</f>
        <v>89383.138128709281</v>
      </c>
      <c r="T42" s="53">
        <f>SUM(T26:T32)+T40</f>
        <v>90423.885200640478</v>
      </c>
      <c r="U42" s="53">
        <f>SUM(U26:U32)+U40</f>
        <v>91480.243478649994</v>
      </c>
      <c r="V42" s="53">
        <f>SUM(V26:V32)+V40</f>
        <v>92552.447130829678</v>
      </c>
      <c r="W42" s="53">
        <f>SUM(W26:W32)+W40</f>
        <v>93640.733837792359</v>
      </c>
      <c r="X42" s="53">
        <f>SUM(X26:X32)+X40</f>
        <v>94745.344845358923</v>
      </c>
      <c r="Y42" s="53">
        <f>SUM(Y26:Y32)+Y40</f>
        <v>95866.525018039451</v>
      </c>
      <c r="Z42" s="53">
        <f>SUM(Z26:Z32)+Z40</f>
        <v>6030886.102802833</v>
      </c>
      <c r="AA42" s="6"/>
    </row>
    <row r="43" ht="14.65" customHeight="1">
      <c r="A43" s="6"/>
      <c r="B43" s="59"/>
      <c r="C43" s="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6"/>
    </row>
    <row r="44" ht="14.65" customHeight="1">
      <c r="A44" t="s" s="66">
        <v>55</v>
      </c>
      <c r="B44" s="67">
        <f>'Cost of Capital'!C25</f>
        <v>0.08489285714285714</v>
      </c>
      <c r="C44" s="5"/>
      <c r="D44" t="s" s="68">
        <v>56</v>
      </c>
      <c r="E44" s="69">
        <f>D42+NPV(B44,E42:Z42)</f>
        <v>378902.4822627312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5.5" customHeight="1">
      <c r="A45" s="6"/>
      <c r="B45" s="43"/>
      <c r="C45" s="6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5" customHeight="1">
      <c r="A46" t="s" s="64">
        <v>57</v>
      </c>
      <c r="B46" s="65"/>
      <c r="C46" s="6"/>
      <c r="D46" t="s" s="68">
        <v>56</v>
      </c>
      <c r="E46" s="25">
        <f>IRR(D42:Z42)</f>
        <v>0.1027529637907788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</sheetData>
  <pageMargins left="0.45" right="0.45" top="0.75" bottom="0.5" header="0.3" footer="0.2"/>
  <pageSetup firstPageNumber="1" fitToHeight="1" fitToWidth="1" scale="100" useFirstPageNumber="0" orientation="landscape" pageOrder="downThenOver"/>
  <headerFooter>
    <oddHeader>&amp;C&amp;"Calibri,Bold"&amp;22&amp;K000000Road King Trucks:  Bus Project Evaluation</oddHeader>
    <oddFooter>&amp;L&amp;"Calibri,Regular"&amp;11&amp;K000000GJS File:  500D - Road King Trucks -  Spreadsheets Calculations - Template.xlsx&amp;R&amp;"Calibri,Regular"&amp;11&amp;K000000Created:  4/19/2010
Revised:  18/12/3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F14"/>
  <sheetViews>
    <sheetView workbookViewId="0" showGridLines="0" defaultGridColor="1"/>
  </sheetViews>
  <sheetFormatPr defaultColWidth="8.83333" defaultRowHeight="14.25" customHeight="1" outlineLevelRow="0" outlineLevelCol="0"/>
  <cols>
    <col min="1" max="1" width="17.6719" style="71" customWidth="1"/>
    <col min="2" max="2" width="8.85156" style="71" customWidth="1"/>
    <col min="3" max="3" width="8.85156" style="71" customWidth="1"/>
    <col min="4" max="4" width="8.85156" style="71" customWidth="1"/>
    <col min="5" max="5" width="8.85156" style="71" customWidth="1"/>
    <col min="6" max="6" width="8.85156" style="71" customWidth="1"/>
    <col min="7" max="256" width="8.85156" style="71" customWidth="1"/>
  </cols>
  <sheetData>
    <row r="1" ht="15" customHeight="1">
      <c r="A1" s="6"/>
      <c r="B1" s="6"/>
      <c r="C1" s="6"/>
      <c r="D1" s="6"/>
      <c r="E1" s="6"/>
      <c r="F1" s="6"/>
    </row>
    <row r="2" ht="15" customHeight="1">
      <c r="A2" s="6"/>
      <c r="B2" s="6"/>
      <c r="C2" s="6"/>
      <c r="D2" s="6"/>
      <c r="E2" s="6"/>
      <c r="F2" s="6"/>
    </row>
    <row r="3" ht="15" customHeight="1">
      <c r="A3" s="6"/>
      <c r="B3" s="6"/>
      <c r="C3" s="6"/>
      <c r="D3" s="6"/>
      <c r="E3" s="6"/>
      <c r="F3" s="6"/>
    </row>
    <row r="4" ht="15" customHeight="1">
      <c r="A4" s="6"/>
      <c r="B4" t="s" s="15">
        <v>61</v>
      </c>
      <c r="C4" t="s" s="15">
        <v>62</v>
      </c>
      <c r="D4" t="s" s="15">
        <v>63</v>
      </c>
      <c r="E4" t="s" s="15">
        <v>64</v>
      </c>
      <c r="F4" s="6"/>
    </row>
    <row r="5" ht="15" customHeight="1">
      <c r="A5" s="6"/>
      <c r="B5" t="s" s="15">
        <v>63</v>
      </c>
      <c r="C5" t="s" s="15">
        <v>65</v>
      </c>
      <c r="D5" t="s" s="15">
        <v>66</v>
      </c>
      <c r="E5" t="s" s="15">
        <v>63</v>
      </c>
      <c r="F5" t="s" s="15">
        <v>67</v>
      </c>
    </row>
    <row r="6" ht="15" customHeight="1">
      <c r="A6" t="s" s="15">
        <v>68</v>
      </c>
      <c r="B6" s="14">
        <v>1.3</v>
      </c>
      <c r="C6" s="14">
        <v>1.32</v>
      </c>
      <c r="D6" s="14">
        <v>1.2</v>
      </c>
      <c r="E6" s="14">
        <v>1.09</v>
      </c>
      <c r="F6" s="6"/>
    </row>
    <row r="7" ht="15" customHeight="1">
      <c r="A7" t="s" s="15">
        <v>69</v>
      </c>
      <c r="B7" s="13">
        <v>0.9</v>
      </c>
      <c r="C7" s="13">
        <v>0.95</v>
      </c>
      <c r="D7" s="13">
        <v>0.85</v>
      </c>
      <c r="E7" s="13">
        <v>0.85</v>
      </c>
      <c r="F7" s="6"/>
    </row>
    <row r="8" ht="15" customHeight="1">
      <c r="A8" s="14"/>
      <c r="B8" s="6"/>
      <c r="C8" s="6"/>
      <c r="D8" s="6"/>
      <c r="E8" s="6"/>
      <c r="F8" s="6"/>
    </row>
    <row r="9" ht="15" customHeight="1">
      <c r="A9" t="s" s="15">
        <v>70</v>
      </c>
      <c r="B9" s="13">
        <f>B6*B7</f>
        <v>1.17</v>
      </c>
      <c r="C9" s="19">
        <f>C6*C7</f>
        <v>1.254</v>
      </c>
      <c r="D9" s="13">
        <f>D6*D7</f>
        <v>1.02</v>
      </c>
      <c r="E9" s="19">
        <f>E6*E7</f>
        <v>0.9265</v>
      </c>
      <c r="F9" s="19">
        <f>AVERAGE(B9:E9)</f>
        <v>1.092625</v>
      </c>
    </row>
    <row r="10" ht="15" customHeight="1">
      <c r="A10" s="6"/>
      <c r="B10" s="6"/>
      <c r="C10" s="6"/>
      <c r="D10" s="6"/>
      <c r="E10" s="6"/>
      <c r="F10" s="6"/>
    </row>
    <row r="11" ht="15" customHeight="1">
      <c r="A11" s="6"/>
      <c r="B11" s="6"/>
      <c r="C11" s="6"/>
      <c r="D11" s="6"/>
      <c r="E11" s="6"/>
      <c r="F11" s="6"/>
    </row>
    <row r="12" ht="15" customHeight="1">
      <c r="A12" t="s" s="15">
        <v>71</v>
      </c>
      <c r="B12" s="19">
        <f>F9</f>
        <v>1.092625</v>
      </c>
      <c r="C12" s="6"/>
      <c r="D12" s="6"/>
      <c r="E12" s="6"/>
      <c r="F12" s="6"/>
    </row>
    <row r="13" ht="14.65" customHeight="1">
      <c r="A13" t="s" s="15">
        <v>72</v>
      </c>
      <c r="B13" s="72">
        <f>B12*0.25</f>
        <v>0.27315625</v>
      </c>
      <c r="C13" t="s" s="15">
        <v>73</v>
      </c>
      <c r="D13" s="6"/>
      <c r="E13" s="6"/>
      <c r="F13" s="6"/>
    </row>
    <row r="14" ht="14.65" customHeight="1">
      <c r="A14" t="s" s="15">
        <v>74</v>
      </c>
      <c r="B14" s="73">
        <f>B12+B13</f>
        <v>1.36578125</v>
      </c>
      <c r="C14" t="s" s="15">
        <v>75</v>
      </c>
      <c r="D14" s="6"/>
      <c r="E14" s="6"/>
      <c r="F14" s="6"/>
    </row>
  </sheetData>
  <mergeCells count="1">
    <mergeCell ref="A7:A8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